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Ten_skoroszyt"/>
  <bookViews>
    <workbookView xWindow="28680" yWindow="65416" windowWidth="29040" windowHeight="15840" tabRatio="601" activeTab="0"/>
  </bookViews>
  <sheets>
    <sheet name="HOME" sheetId="26" r:id="rId1"/>
    <sheet name="BS CONS" sheetId="10" r:id="rId2"/>
    <sheet name="P&amp;L CONS" sheetId="9" r:id="rId3"/>
    <sheet name="CF CONS" sheetId="11" r:id="rId4"/>
    <sheet name="BS" sheetId="20" r:id="rId5"/>
    <sheet name="P&amp;L" sheetId="19" r:id="rId6"/>
    <sheet name="CF" sheetId="21" r:id="rId7"/>
    <sheet name="CLAIMS" sheetId="16" r:id="rId8"/>
    <sheet name="Hide" sheetId="28" state="hidden" r:id="rId9"/>
  </sheets>
  <definedNames>
    <definedName name="BS_Cons">'Hide'!$A$64:$C$97</definedName>
    <definedName name="Chosen">'HOME'!$A$5</definedName>
    <definedName name="Language">'Hide'!$A$4:$A$5</definedName>
    <definedName name="ToC_Headings">'Hide'!$A$9:$C$22</definedName>
  </definedNames>
  <calcPr calcId="191029" calcMode="autoNoTable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<sst xmlns="http://schemas.openxmlformats.org/spreadsheetml/2006/main" count="670" uniqueCount="391">
  <si>
    <t/>
  </si>
  <si>
    <t>CLAIMS</t>
  </si>
  <si>
    <t>Number of payment claims submitted with insurers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</si>
  <si>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</si>
  <si>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</si>
  <si>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</si>
  <si>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</si>
  <si>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</si>
  <si>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</si>
  <si>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</si>
  <si>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</si>
  <si>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</si>
  <si>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</si>
  <si>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</si>
  <si>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</si>
  <si>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</si>
  <si>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Przychody ze sprzedaży</t>
  </si>
  <si>
    <t>Zużycie surowców i materiałów</t>
  </si>
  <si>
    <t>Świadczenia pracownicze</t>
  </si>
  <si>
    <t>Amortyzacja</t>
  </si>
  <si>
    <t>Usługi obce</t>
  </si>
  <si>
    <t>Pozostałe</t>
  </si>
  <si>
    <t>Koszt własny razem</t>
  </si>
  <si>
    <t>Zysk/(strata) na sprzedaży</t>
  </si>
  <si>
    <t>Pozostałe przychody operacyjne</t>
  </si>
  <si>
    <t>Pozostałe koszty operacyjne</t>
  </si>
  <si>
    <t>Zysk/(strata) na działalności operacyjnej</t>
  </si>
  <si>
    <t>Przychody finansowe</t>
  </si>
  <si>
    <t>Koszty finansowe</t>
  </si>
  <si>
    <t>Zysk/(strata) przed opodatkowaniem</t>
  </si>
  <si>
    <t>Podatek dochodowy</t>
  </si>
  <si>
    <t>Zysk/(strata) netto z działalności kontynuowanej</t>
  </si>
  <si>
    <t>Inne całkowite dochody</t>
  </si>
  <si>
    <t>Inne całkowite dochody netto za okres sprawozdawczy</t>
  </si>
  <si>
    <t>Zysk/(strata) netto za okres sprawozdawczy przypadająca na udziały niedające kontroli</t>
  </si>
  <si>
    <t>- podstawowy</t>
  </si>
  <si>
    <t>- rozwodniony</t>
  </si>
  <si>
    <t>Różnice kursowe z przeliczenia</t>
  </si>
  <si>
    <t xml:space="preserve">Podatek odroczony od wyceny różnic kursowych od pożyczek </t>
  </si>
  <si>
    <t>Całkowite dochody ogółem za okres sprawozdawczy</t>
  </si>
  <si>
    <t>Wartości niematerialne</t>
  </si>
  <si>
    <t>Rzeczowe aktywa trwałe</t>
  </si>
  <si>
    <t>Należności długoterminowe</t>
  </si>
  <si>
    <t>Aktywa finansowe</t>
  </si>
  <si>
    <t>Aktywa z tytułu odroczonego podatku dochodowego</t>
  </si>
  <si>
    <t>Aktywa trwałe</t>
  </si>
  <si>
    <t>Zapasy</t>
  </si>
  <si>
    <t>Należności z tytułu dostaw i usług oraz pozostałe</t>
  </si>
  <si>
    <t>Środki pieniężne i ich ekwiwalenty</t>
  </si>
  <si>
    <t>Aktywa obrotowe</t>
  </si>
  <si>
    <t>AKTYWA RAZEM</t>
  </si>
  <si>
    <t>Kapitał zakładowy</t>
  </si>
  <si>
    <t>Kapitał zapasowy</t>
  </si>
  <si>
    <t>Kapitał z wyceny programu motywacyjnego</t>
  </si>
  <si>
    <t>Zyski zatrzymane</t>
  </si>
  <si>
    <t>Różnice kursowe</t>
  </si>
  <si>
    <t>Udziały niedające kontroli</t>
  </si>
  <si>
    <t>Rezerwy</t>
  </si>
  <si>
    <t>Rezerwa z tytułu odroczonego podatku dochodowego</t>
  </si>
  <si>
    <t>Zobowiązania z tytułu obligacji i inne zobowiązania finansowe</t>
  </si>
  <si>
    <t>Rozliczenia międzyokresowe</t>
  </si>
  <si>
    <t>Zobowiązania długoterminowe</t>
  </si>
  <si>
    <t>Kredyty i pożyczki</t>
  </si>
  <si>
    <t>Zobowiązania z tytułu dostaw i usług oraz pozostałe</t>
  </si>
  <si>
    <t>Zobowiązania z tytułu podatku dochodowego</t>
  </si>
  <si>
    <t>Zobowiązania krótkoterminowe</t>
  </si>
  <si>
    <t>Zobowiązania razem</t>
  </si>
  <si>
    <t>PASYWA RAZEM</t>
  </si>
  <si>
    <t>Przepływy pieniężne z działalności operacyjnej</t>
  </si>
  <si>
    <t>Amortyzacja rzeczowych aktywów trwałych</t>
  </si>
  <si>
    <t>Amortyzacja wartości niematerialnych</t>
  </si>
  <si>
    <t>Zmiana stanu zapasów</t>
  </si>
  <si>
    <t>Zmiana stanu należności z tytułu dostaw i usług oraz pozostałych</t>
  </si>
  <si>
    <t>Zmiana stanu rozliczeń międzyokresowych</t>
  </si>
  <si>
    <t>Zmiana stanu zobowiązań z tytułu dostaw i usług oraz pozostałych</t>
  </si>
  <si>
    <t>Zmiana stanu zobowiązań finansowych</t>
  </si>
  <si>
    <t>Zmiana stanu aktywów finansowych</t>
  </si>
  <si>
    <t>Zmiana stanu rezerw</t>
  </si>
  <si>
    <t>Wycena programu motywacyjnego</t>
  </si>
  <si>
    <t>Zmiana stanu aktywów i pasywów w związku z nabyciem jednostek zależnych</t>
  </si>
  <si>
    <t>Odsetki oraz dyskonto od obligacji</t>
  </si>
  <si>
    <t>(Przychody)/Koszty finansowe netto</t>
  </si>
  <si>
    <t>Podatek zapłacony</t>
  </si>
  <si>
    <t>Różnice kursowe z przeliczenia należności i zobowiązań</t>
  </si>
  <si>
    <t xml:space="preserve">Pozostałe </t>
  </si>
  <si>
    <t>Przepływy pieniężne z działalności inwestycyjnej</t>
  </si>
  <si>
    <t>Wpływy ze sprzedaży inwestycji</t>
  </si>
  <si>
    <t>Odsetki otrzymane</t>
  </si>
  <si>
    <t>Nabycie jednostek zależnych</t>
  </si>
  <si>
    <t>Udzielone pożyczki</t>
  </si>
  <si>
    <t>Środki pieniężne przejęte w wyniku nabycia udziałów w  Medi-Lynx</t>
  </si>
  <si>
    <t>Nabycie pozostałych inwestycji</t>
  </si>
  <si>
    <t>Inne wpływy finansowe</t>
  </si>
  <si>
    <t>Inne wydatki (koszty przejęcia spółki zależnej)</t>
  </si>
  <si>
    <t>Przepływy pieniężne z działalności finansowej</t>
  </si>
  <si>
    <t>Wpływy z tytułu zaciągniętych kredytów</t>
  </si>
  <si>
    <t>Wpływy z emisji instrumentów dłużnych</t>
  </si>
  <si>
    <t>Wpływy z tytułu wydania akcji</t>
  </si>
  <si>
    <t>Nabycie udziałów niekontrolujących</t>
  </si>
  <si>
    <t>Wypłata dywidendy</t>
  </si>
  <si>
    <t>Odsetki zapłacone od obligacji</t>
  </si>
  <si>
    <t>Dyskonto obligacji</t>
  </si>
  <si>
    <t>Przepływy pieniężne netto ogółem</t>
  </si>
  <si>
    <t>Środki pieniężne i ich ekwiwalenty na początek okresu</t>
  </si>
  <si>
    <t>Wpływ zmian z tytułu różnic kursowych dotyczących środków pieniężnych i ich ekwiwalentów</t>
  </si>
  <si>
    <t>Środki pieniężne na koniec okresu</t>
  </si>
  <si>
    <t>Zysk/(strata) netto za okres sprawozdawczy</t>
  </si>
  <si>
    <t>Medicalgorithmics</t>
  </si>
  <si>
    <t>Wyłączenia konsolidacyjne</t>
  </si>
  <si>
    <t>04/17</t>
  </si>
  <si>
    <t>05/17</t>
  </si>
  <si>
    <t>06/17</t>
  </si>
  <si>
    <t>2Q17</t>
  </si>
  <si>
    <t>07/17</t>
  </si>
  <si>
    <t>-</t>
  </si>
  <si>
    <t>Udziały w jednostkach zależnych</t>
  </si>
  <si>
    <t>Kapitał własny</t>
  </si>
  <si>
    <t xml:space="preserve">Podstawowy zysk/(strata) na jedną akcję w złotych </t>
  </si>
  <si>
    <t xml:space="preserve">Rozwodniony zysk/(strata) na jedną akcję w złotych </t>
  </si>
  <si>
    <t>Zmiana stanu aktywów i pasywów - nabycie jed. zależnych</t>
  </si>
  <si>
    <t xml:space="preserve">Różnice kursowe </t>
  </si>
  <si>
    <t>(Przychody)/koszty finansowe netto</t>
  </si>
  <si>
    <t>Nabycie rzeczowych aktywów trwałych i wartości niematerialnych</t>
  </si>
  <si>
    <t>Zmiana stanu zobowiązań z tyt. nabycia wartości niematerialnych</t>
  </si>
  <si>
    <t>Dyskonto od obligacji</t>
  </si>
  <si>
    <t>Wycena walutowa oraz odsetki naliczone od udzielonych pożyczek</t>
  </si>
  <si>
    <t>(Zysk)/strata ze sprzedaży inwestycji</t>
  </si>
  <si>
    <t>(Zysk)/strata ze sprzedaży rzeczowych aktywów trwałych</t>
  </si>
  <si>
    <t>Wpływy z tytułu sprzedaży rzeczowych aktywów trwałych</t>
  </si>
  <si>
    <t>Wpływy z tytułu sprzedaży rzeczowych aktywów trwałych i wartości niematerialnych</t>
  </si>
  <si>
    <t>Inne wydatki (koszty przejęcia spółki zależnej, wydatki na prace rozwojowe)</t>
  </si>
  <si>
    <t>Spłata kredytów i pożyczek</t>
  </si>
  <si>
    <t>Aktywa trwałe przeznaczone do sprzedaży</t>
  </si>
  <si>
    <t xml:space="preserve">Liczba złożonych wniosków o płatność od ubezpieczycieli </t>
  </si>
  <si>
    <t>Medi-Lynx</t>
  </si>
  <si>
    <t xml:space="preserve">Uwaga: Od kwietnia 2017 Spółka publikuje dane miesięczne </t>
  </si>
  <si>
    <t>Note: Since April 2017 Company publishes montly data</t>
  </si>
  <si>
    <t>Przychody ze sprzedaży abonamentów (usług)</t>
  </si>
  <si>
    <t>Przychody ze sprzedaży urządzeń</t>
  </si>
  <si>
    <t>Sprzedaż krajowa</t>
  </si>
  <si>
    <t>Eksport</t>
  </si>
  <si>
    <t>Consolidation eliminations</t>
  </si>
  <si>
    <t>PODZIAŁ NA SPÓŁKI</t>
  </si>
  <si>
    <t>SPLIT BY COMPANIES</t>
  </si>
  <si>
    <t>PODZIAŁ NA ŹRÓDŁO PRZYCHODÓW</t>
  </si>
  <si>
    <t>SPLIT BY SOURCE OF REVENUES</t>
  </si>
  <si>
    <t>Revenues from subscription fees (diagnostic services)</t>
  </si>
  <si>
    <t>Revenues from selling devices</t>
  </si>
  <si>
    <t>PODZIAŁ GEOGRAFICZNY</t>
  </si>
  <si>
    <t>SPLIT BY GEOGRAPHICAL REGION</t>
  </si>
  <si>
    <t>Domestic sales</t>
  </si>
  <si>
    <t>Other countries</t>
  </si>
  <si>
    <t>English</t>
  </si>
  <si>
    <t>SPIS TREŚCI</t>
  </si>
  <si>
    <t>TABLE OF CONTENTS</t>
  </si>
  <si>
    <t>P&amp;L CONS</t>
  </si>
  <si>
    <t>BS CONS</t>
  </si>
  <si>
    <t>CF CONS</t>
  </si>
  <si>
    <t xml:space="preserve">P&amp;L </t>
  </si>
  <si>
    <t xml:space="preserve">BS </t>
  </si>
  <si>
    <t xml:space="preserve">CF </t>
  </si>
  <si>
    <t>Revenues split</t>
  </si>
  <si>
    <t>Skonsolidowane sprawozdanie z całkowitych dochodów</t>
  </si>
  <si>
    <t>Skonsolidowane sprawozdanie z sytuacji finansowej</t>
  </si>
  <si>
    <t>Skonsolidowane sprawozdanie z przepływów pieniężnych</t>
  </si>
  <si>
    <t>Jednostkowe sprawozdanie z całkowitych dochodów</t>
  </si>
  <si>
    <t>Jednostkowe sprawozdanie z sytuacji finansowej</t>
  </si>
  <si>
    <t>Jednostkowe sprawozdanie z przepływów pieniężnych</t>
  </si>
  <si>
    <t>Struktura przychodów</t>
  </si>
  <si>
    <t xml:space="preserve">Consolidated Balance Sheet </t>
  </si>
  <si>
    <t>Consolidated Statement of Cash Flows</t>
  </si>
  <si>
    <t>Non-current assets</t>
  </si>
  <si>
    <t xml:space="preserve">Current assets </t>
  </si>
  <si>
    <t>Long-term liabilities</t>
  </si>
  <si>
    <t>Total liabilities</t>
  </si>
  <si>
    <t>TOTAL ASSETS</t>
  </si>
  <si>
    <t>Other financial assets</t>
  </si>
  <si>
    <t>Inventory</t>
  </si>
  <si>
    <t>Trade receivables</t>
  </si>
  <si>
    <t>Cash and cash equivalents</t>
  </si>
  <si>
    <t>Intangible assets</t>
  </si>
  <si>
    <t>Tangible fixed assets</t>
  </si>
  <si>
    <t>Long-term receivables</t>
  </si>
  <si>
    <t>Deferred tax assets</t>
  </si>
  <si>
    <t>Share capital</t>
  </si>
  <si>
    <t>Reserve capital</t>
  </si>
  <si>
    <t>Bond liabilities and other financial liabilities</t>
  </si>
  <si>
    <t>Accruals</t>
  </si>
  <si>
    <t>Credits and loans</t>
  </si>
  <si>
    <t>Trade and other liabilities</t>
  </si>
  <si>
    <t>Income tax liabilities</t>
  </si>
  <si>
    <t>Current liabilities</t>
  </si>
  <si>
    <t>Retained earnings</t>
  </si>
  <si>
    <t>Equity attributable to equity holders of the parent company</t>
  </si>
  <si>
    <t>Non-controlling interests</t>
  </si>
  <si>
    <t>Provisions</t>
  </si>
  <si>
    <t>Deferred income tax provision</t>
  </si>
  <si>
    <t>Foreign exchange differences</t>
  </si>
  <si>
    <t>Sales revenue</t>
  </si>
  <si>
    <t>Employee benefits</t>
  </si>
  <si>
    <t>Depreciation</t>
  </si>
  <si>
    <t>Profit / (loss) on sale</t>
  </si>
  <si>
    <t>Profit / (loss) on operating activities</t>
  </si>
  <si>
    <t>Financial income</t>
  </si>
  <si>
    <t>Net income / (expenses)</t>
  </si>
  <si>
    <t>Profit / (loss) before tax</t>
  </si>
  <si>
    <t>Income tax</t>
  </si>
  <si>
    <t>Net profit / (loss) from continuing operations</t>
  </si>
  <si>
    <t>Net profit / (loss) for the reporting period attributable to equity holders of the Parent Entity</t>
  </si>
  <si>
    <t>Net profit / (loss) for the reporting period attributable to non-controlling interests</t>
  </si>
  <si>
    <t>Net profit / (loss) attributable to the equity holders of the Parent Entity per share (in PLN)</t>
  </si>
  <si>
    <t>Exchange rate differences from conversion</t>
  </si>
  <si>
    <t xml:space="preserve">Exchange rate differences on loans that are part of the net investment
In subsidiaries </t>
  </si>
  <si>
    <t>Total income for the reporting period attributable to equity holders of the Parent Entity</t>
  </si>
  <si>
    <t>Total revenue for the reporting period attributable to non-controlling interests</t>
  </si>
  <si>
    <t>Consumption of materials and energy</t>
  </si>
  <si>
    <t>External services</t>
  </si>
  <si>
    <t>Other operating revenues</t>
  </si>
  <si>
    <t>Other operating expenses</t>
  </si>
  <si>
    <t>Other</t>
  </si>
  <si>
    <t>Financial expenses</t>
  </si>
  <si>
    <t>Other costs</t>
  </si>
  <si>
    <t>Total operating expenses</t>
  </si>
  <si>
    <t>- diluted</t>
  </si>
  <si>
    <t>- basic</t>
  </si>
  <si>
    <t>Other income</t>
  </si>
  <si>
    <t>Deferred tax on valuation of currency exchange differences on loans</t>
  </si>
  <si>
    <t>Total income for the reporting period</t>
  </si>
  <si>
    <t>Cash flows from operating activities</t>
  </si>
  <si>
    <t>Net profit (loss)</t>
  </si>
  <si>
    <t>Change in provisions</t>
  </si>
  <si>
    <t>Change in inventory</t>
  </si>
  <si>
    <t>Change in prepayments and accruals</t>
  </si>
  <si>
    <t>Cash flows from investment activities</t>
  </si>
  <si>
    <t>Cash flows from financial activities</t>
  </si>
  <si>
    <t>Cash opening balance</t>
  </si>
  <si>
    <t>Depreciation of property, plant and equipment</t>
  </si>
  <si>
    <t>Depreciation of intangible assets</t>
  </si>
  <si>
    <t>Change in trade and other liabilities</t>
  </si>
  <si>
    <t>Change in financial liabilities</t>
  </si>
  <si>
    <t>Change in financial assets</t>
  </si>
  <si>
    <t>Valuation of the incentive program</t>
  </si>
  <si>
    <t>Change in assets and liabilities resulting from acquisition of subsidiaries</t>
  </si>
  <si>
    <t>(Profit) / loss on sales of investments</t>
  </si>
  <si>
    <t>Interest and discount on bonds</t>
  </si>
  <si>
    <t>(Revenue) / Net financial expenses</t>
  </si>
  <si>
    <t>Tax paid</t>
  </si>
  <si>
    <t>(Profit) / loss on sale of tangible fixed assets</t>
  </si>
  <si>
    <t>Currency exchange differences</t>
  </si>
  <si>
    <t>Currency exchange differences on translation of receivables and liabilities</t>
  </si>
  <si>
    <t>Proceeds from the sale of investments</t>
  </si>
  <si>
    <t>Interest received</t>
  </si>
  <si>
    <t>Acquisition of subsidiaries</t>
  </si>
  <si>
    <t>Loans granted</t>
  </si>
  <si>
    <t>Cash acquired as a result of acquiring shares in Medi-Lynx</t>
  </si>
  <si>
    <t>Acquisition of other investments</t>
  </si>
  <si>
    <t>Acquisition of non-controlling interests</t>
  </si>
  <si>
    <t>Dividend payment</t>
  </si>
  <si>
    <t>Interest paid on bonds</t>
  </si>
  <si>
    <t>Bond discount</t>
  </si>
  <si>
    <t>Total net cash flow</t>
  </si>
  <si>
    <t>Other financial inflows</t>
  </si>
  <si>
    <t>Inflows from sale of tangible fixed assets</t>
  </si>
  <si>
    <t>Other outflows (costs of acquiring a subsidiary)</t>
  </si>
  <si>
    <t>Inflows from credits and loans</t>
  </si>
  <si>
    <t>Inflows from the issue of debt instruments</t>
  </si>
  <si>
    <t>Inflows from the issue of shares</t>
  </si>
  <si>
    <t>Change in cash due to exchange differences</t>
  </si>
  <si>
    <t>Closing balance of cash</t>
  </si>
  <si>
    <t>Basic profit / (loss) per share in PLN</t>
  </si>
  <si>
    <t>Diluted profit / (loss) per share in PLN</t>
  </si>
  <si>
    <t>Language Translations</t>
  </si>
  <si>
    <t>Language</t>
  </si>
  <si>
    <t>ToC Data Table (ToC_Headings)</t>
  </si>
  <si>
    <t>Balance Sheet Consolidated (BS_Cons)</t>
  </si>
  <si>
    <t>Shares in subsidiaries</t>
  </si>
  <si>
    <t>Trade and other receivables</t>
  </si>
  <si>
    <t>Non-current assets held for sale</t>
  </si>
  <si>
    <t>Equity capital</t>
  </si>
  <si>
    <t>TOTAL LIABILITIES AND EQUITY</t>
  </si>
  <si>
    <t>Change in trade receivables</t>
  </si>
  <si>
    <t>Change in trade and other receivables</t>
  </si>
  <si>
    <t>Purchase of tangible fixed assets and intangible assets</t>
  </si>
  <si>
    <t>Proceeds from the sale of tangible fixed assets and intangible assets</t>
  </si>
  <si>
    <t>Other outflows (costs of acquiring a subsidiary, R&amp;D costs)</t>
  </si>
  <si>
    <t>Change in liabilities from purchase of intangible assets</t>
  </si>
  <si>
    <t>Valuation of the option for management incentive program shares</t>
  </si>
  <si>
    <t>Repayment of credits and loans</t>
  </si>
  <si>
    <t xml:space="preserve">Standalone Balance Sheet </t>
  </si>
  <si>
    <t>Standalone Statement of Cash Flows</t>
  </si>
  <si>
    <t xml:space="preserve">Consolidated Profit and Loss Statement </t>
  </si>
  <si>
    <t xml:space="preserve">Standalone Profit and Loss Statement </t>
  </si>
  <si>
    <t>Consolidated Profit and Loss Statement (P&amp;L_CONS)</t>
  </si>
  <si>
    <t xml:space="preserve">Uwaga: Skonsolidowane wyniki finansowe są sporządzane od I kw. 2016 r. </t>
  </si>
  <si>
    <t xml:space="preserve">Consolidated Revenues </t>
  </si>
  <si>
    <t>Skonsolidowane przychody ze sprzedaży</t>
  </si>
  <si>
    <t>WNIOSKI</t>
  </si>
  <si>
    <t>Polski</t>
  </si>
  <si>
    <t>Wybierz język / Select Language</t>
  </si>
  <si>
    <t>Note: Consolidated financial results prepared from Q1 2016</t>
  </si>
  <si>
    <t>Pozostałe zobowiązania</t>
  </si>
  <si>
    <t>Dopłaty do kapitału jednostek zależnych</t>
  </si>
  <si>
    <t>Odsetki</t>
  </si>
  <si>
    <t>Spłata zobowiązań finansowych</t>
  </si>
  <si>
    <t>Przychody/(koszty) finansowe netto</t>
  </si>
  <si>
    <t>Zysk/(strata) netto za okres sprawozdawczy przypadająca na Akcjonariuszy Jednostki Dominującej</t>
  </si>
  <si>
    <t>Zysk/(strata) netto przypadający na Akcjonariuszy Jednostki Dominującej na jedną akcję (w złotych)</t>
  </si>
  <si>
    <t>Różnice kursowe od pożyczek stanowiących część inwestycji netto w jednostki zależne</t>
  </si>
  <si>
    <t>Całkowite dochody za okres sprawozdawczy przypadające na udziały niedające kontroli</t>
  </si>
  <si>
    <t>Całkowite dochody za okres sprawozdawczy przypadające na Akcjonariuszy Jednostki Dominującej</t>
  </si>
  <si>
    <t>Kapitał własny przypadający na Akcjonariuszy Jednostki Dominującej</t>
  </si>
  <si>
    <t>Zobowiązania z tytułu obligacji</t>
  </si>
  <si>
    <t>Other liabilities</t>
  </si>
  <si>
    <t>Interest</t>
  </si>
  <si>
    <t>Bond liabilities</t>
  </si>
  <si>
    <t>Interest accrued and due</t>
  </si>
  <si>
    <t>Additional payments to the capital of subsidiaries</t>
  </si>
  <si>
    <t>000 PLN</t>
  </si>
  <si>
    <t>tys. PLN</t>
  </si>
  <si>
    <t>08/17</t>
  </si>
  <si>
    <t>09/17</t>
  </si>
  <si>
    <t>10/17</t>
  </si>
  <si>
    <t>3Q17</t>
  </si>
  <si>
    <t>1-2Q17</t>
  </si>
  <si>
    <t>1-3Q17</t>
  </si>
  <si>
    <t>4Q17</t>
  </si>
  <si>
    <t>11/17</t>
  </si>
  <si>
    <t>12/17</t>
  </si>
  <si>
    <t>1Q18</t>
  </si>
  <si>
    <t>(Nabycie)/sprzedaż wartości niematerialnych</t>
  </si>
  <si>
    <t>(Nabycie)/sprzedaż rzeczowych aktywów trwałych</t>
  </si>
  <si>
    <t xml:space="preserve">(Purchase)/sale of tangible fixed assets </t>
  </si>
  <si>
    <t>(Purchase)/sale of intangible assets</t>
  </si>
  <si>
    <t>Wypłata z zysku Medi-Lynx do udziałowca mniejszościowego</t>
  </si>
  <si>
    <t>01/18</t>
  </si>
  <si>
    <t>02/18</t>
  </si>
  <si>
    <t>03/18</t>
  </si>
  <si>
    <t>04/18</t>
  </si>
  <si>
    <t>05/18</t>
  </si>
  <si>
    <t>06/18</t>
  </si>
  <si>
    <t>2Q18</t>
  </si>
  <si>
    <t>07/18</t>
  </si>
  <si>
    <t>1-2Q18</t>
  </si>
  <si>
    <t>(Acquisition)/sale of other investments</t>
  </si>
  <si>
    <t>(Nabycie)/sprzedaż pozostałych inwestycji</t>
  </si>
  <si>
    <t>09/18</t>
  </si>
  <si>
    <t>08/18</t>
  </si>
  <si>
    <t>3Q18</t>
  </si>
  <si>
    <t>Inne całkowite dochody przypadające na Akcjonariuszy Jednostki Dominującej</t>
  </si>
  <si>
    <t>Inne całkowite dochody przypadające na udziały niedające kontroli</t>
  </si>
  <si>
    <t>1-3Q18</t>
  </si>
  <si>
    <t>Spłata zadłużenia na kartach kredytowych i z tytułu pożyczek</t>
  </si>
  <si>
    <t>Debt repayment on credit cards and loans</t>
  </si>
  <si>
    <t>Other income attributable to equity holders of the Parent Entity</t>
  </si>
  <si>
    <t>Other income attributable to non-controlling interests</t>
  </si>
  <si>
    <t>Repayment of financial liabilities</t>
  </si>
  <si>
    <t>Distribution of Medi-Lynx profit to a minority shareholder</t>
  </si>
  <si>
    <t>4Q18</t>
  </si>
  <si>
    <t>10/18</t>
  </si>
  <si>
    <t>11/18</t>
  </si>
  <si>
    <t>12/18</t>
  </si>
  <si>
    <t>1Q19</t>
  </si>
  <si>
    <t>2Q19</t>
  </si>
  <si>
    <t>3Q19</t>
  </si>
  <si>
    <t>4Q19</t>
  </si>
  <si>
    <t>1-2Q19</t>
  </si>
  <si>
    <t>1-3Q19</t>
  </si>
  <si>
    <t>Spłata zobowiązań finansowych z tytułu leasingu finansowego</t>
  </si>
  <si>
    <t>Płatności zobowiązań z tytułu leasingu finansowego</t>
  </si>
  <si>
    <t>Odsetki z tytułu leasingu finansowego</t>
  </si>
  <si>
    <t>01/19</t>
  </si>
  <si>
    <t>02/19</t>
  </si>
  <si>
    <t>03/19</t>
  </si>
  <si>
    <t>Spłata udzielonych pożyczek wraz odsetkami</t>
  </si>
  <si>
    <t>Spłata obligacji wraz z odsetkami</t>
  </si>
  <si>
    <t>Spłata zadłużenia z tytułu zaciągniętych kredytów wraz z odsetkami</t>
  </si>
  <si>
    <t>04/19</t>
  </si>
  <si>
    <t>05/19</t>
  </si>
  <si>
    <t>06/19</t>
  </si>
  <si>
    <t>07/19</t>
  </si>
  <si>
    <t>08/19</t>
  </si>
  <si>
    <t>09/19</t>
  </si>
  <si>
    <t>Strata z likwidacji środków trwałych</t>
  </si>
  <si>
    <t>10/19</t>
  </si>
  <si>
    <t>11/19</t>
  </si>
  <si>
    <t>12/19</t>
  </si>
  <si>
    <t>1Q20</t>
  </si>
  <si>
    <t>Zadłużenie na kartach kredytowych</t>
  </si>
  <si>
    <t>01/20</t>
  </si>
  <si>
    <t>02/20</t>
  </si>
  <si>
    <t>03/20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</si>
</sst>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;\(#,##0\);\-"/>
    <numFmt numFmtId="166" formatCode="#,##0.0;\(#,##0.0\);\-"/>
    <numFmt numFmtId="167" formatCode="_(* #,##0_);_(* \(#,##0\);_(* &quot;-&quot;?_);_(@_)"/>
    <numFmt numFmtId="168" formatCode="#,##0.00;\(#,##0.00\);\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E3061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E30613"/>
      </top>
      <bottom style="thin">
        <color rgb="FFE30613"/>
      </bottom>
    </border>
    <border>
      <left/>
      <right/>
      <top style="thin">
        <color rgb="FFE30613"/>
      </top>
      <bottom/>
    </border>
    <border>
      <left/>
      <right/>
      <top/>
      <bottom style="thin">
        <color rgb="FFE30613"/>
      </bottom>
    </border>
    <border>
      <left/>
      <right/>
      <top/>
      <bottom style="thin">
        <color rgb="FFFF0000"/>
      </bottom>
    </border>
    <border>
      <left style="medium">
        <color rgb="FFE30613"/>
      </left>
      <right/>
      <top style="medium">
        <color rgb="FFE30613"/>
      </top>
      <bottom style="medium">
        <color rgb="FFE30613"/>
      </bottom>
    </border>
    <border>
      <left/>
      <right style="medium">
        <color rgb="FFE30613"/>
      </right>
      <top style="medium">
        <color rgb="FFE30613"/>
      </top>
      <bottom style="medium">
        <color rgb="FFE30613"/>
      </bottom>
    </border>
    <border>
      <left/>
      <right/>
      <top/>
      <bottom style="medium">
        <color rgb="FFE3061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Border="0" applyAlignment="0">
      <protection/>
    </xf>
  </cellStyleXfs>
  <cellXfs count="123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20" applyFont="1"/>
    <xf numFmtId="0" fontId="8" fillId="0" borderId="0" xfId="0" applyFont="1"/>
    <xf numFmtId="165" fontId="5" fillId="0" borderId="0" xfId="0" applyNumberFormat="1" applyFont="1"/>
    <xf numFmtId="0" fontId="5" fillId="0" borderId="0" xfId="0" applyFont="1"/>
    <xf numFmtId="165" fontId="6" fillId="0" borderId="0" xfId="0" applyNumberFormat="1" applyFont="1"/>
    <xf numFmtId="165" fontId="5" fillId="0" borderId="1" xfId="0" applyNumberFormat="1" applyFont="1" applyBorder="1"/>
    <xf numFmtId="165" fontId="6" fillId="0" borderId="1" xfId="0" applyNumberFormat="1" applyFont="1" applyBorder="1"/>
    <xf numFmtId="166" fontId="6" fillId="0" borderId="0" xfId="0" applyNumberFormat="1" applyFont="1"/>
    <xf numFmtId="165" fontId="6" fillId="0" borderId="0" xfId="0" applyNumberFormat="1" applyFont="1" applyAlignment="1">
      <alignment horizontal="right"/>
    </xf>
    <xf numFmtId="166" fontId="5" fillId="0" borderId="0" xfId="0" applyNumberFormat="1" applyFont="1"/>
    <xf numFmtId="165" fontId="5" fillId="0" borderId="2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165" fontId="9" fillId="0" borderId="0" xfId="0" applyNumberFormat="1" applyFont="1"/>
    <xf numFmtId="165" fontId="9" fillId="0" borderId="1" xfId="0" applyNumberFormat="1" applyFont="1" applyBorder="1"/>
    <xf numFmtId="0" fontId="9" fillId="0" borderId="0" xfId="0" applyFont="1"/>
    <xf numFmtId="165" fontId="10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165" fontId="10" fillId="0" borderId="1" xfId="0" applyNumberFormat="1" applyFont="1" applyBorder="1" applyAlignment="1">
      <alignment wrapText="1"/>
    </xf>
    <xf numFmtId="166" fontId="11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wrapText="1"/>
    </xf>
    <xf numFmtId="3" fontId="6" fillId="0" borderId="0" xfId="18" applyNumberFormat="1" applyFont="1"/>
    <xf numFmtId="3" fontId="6" fillId="0" borderId="0" xfId="18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right"/>
    </xf>
    <xf numFmtId="49" fontId="5" fillId="2" borderId="0" xfId="0" applyNumberFormat="1" applyFont="1" applyFill="1" applyAlignment="1" quotePrefix="1">
      <alignment horizontal="right"/>
    </xf>
    <xf numFmtId="49" fontId="5" fillId="3" borderId="0" xfId="0" applyNumberFormat="1" applyFont="1" applyFill="1" applyAlignment="1" quotePrefix="1">
      <alignment horizontal="righ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13" fillId="0" borderId="0" xfId="0" applyNumberFormat="1" applyFont="1" applyAlignment="1" quotePrefix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left" wrapText="1" indent="1"/>
    </xf>
    <xf numFmtId="0" fontId="5" fillId="4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21" fillId="0" borderId="0" xfId="0" applyNumberFormat="1" applyFont="1" applyAlignment="1" quotePrefix="1">
      <alignment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4" fillId="0" borderId="0" xfId="20" applyFont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4" fillId="0" borderId="0" xfId="0" applyFont="1" applyAlignment="1">
      <alignment vertical="center" wrapText="1"/>
    </xf>
    <xf numFmtId="0" fontId="15" fillId="2" borderId="0" xfId="0" applyFont="1" applyFill="1"/>
    <xf numFmtId="0" fontId="16" fillId="2" borderId="0" xfId="0" applyFont="1" applyFill="1"/>
    <xf numFmtId="0" fontId="15" fillId="2" borderId="4" xfId="0" applyFont="1" applyFill="1" applyBorder="1"/>
    <xf numFmtId="0" fontId="16" fillId="2" borderId="0" xfId="0" applyFont="1" applyFill="1" applyAlignment="1">
      <alignment vertical="center"/>
    </xf>
    <xf numFmtId="0" fontId="4" fillId="2" borderId="0" xfId="20" applyFont="1" applyFill="1"/>
    <xf numFmtId="0" fontId="17" fillId="2" borderId="0" xfId="20" applyFont="1" applyFill="1"/>
    <xf numFmtId="0" fontId="18" fillId="2" borderId="0" xfId="0" applyFont="1" applyFill="1"/>
    <xf numFmtId="0" fontId="17" fillId="2" borderId="4" xfId="20" applyFont="1" applyFill="1" applyBorder="1"/>
    <xf numFmtId="0" fontId="11" fillId="0" borderId="0" xfId="0" applyFont="1" applyAlignment="1">
      <alignment vertical="top" wrapText="1"/>
    </xf>
    <xf numFmtId="0" fontId="0" fillId="0" borderId="0" xfId="0" quotePrefix="1"/>
    <xf numFmtId="14" fontId="6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vertical="center"/>
    </xf>
    <xf numFmtId="9" fontId="6" fillId="0" borderId="0" xfId="15" applyFont="1"/>
    <xf numFmtId="17" fontId="14" fillId="0" borderId="0" xfId="0" applyNumberFormat="1" applyFont="1"/>
    <xf numFmtId="17" fontId="13" fillId="0" borderId="0" xfId="0" applyNumberFormat="1" applyFont="1"/>
    <xf numFmtId="0" fontId="12" fillId="0" borderId="0" xfId="0" applyFont="1" applyAlignment="1">
      <alignment horizontal="center"/>
    </xf>
    <xf numFmtId="17" fontId="13" fillId="0" borderId="0" xfId="0" applyNumberFormat="1" applyFont="1" applyAlignment="1">
      <alignment horizontal="right"/>
    </xf>
    <xf numFmtId="17" fontId="25" fillId="0" borderId="0" xfId="0" applyNumberFormat="1" applyFont="1" applyAlignment="1">
      <alignment horizontal="right"/>
    </xf>
    <xf numFmtId="3" fontId="14" fillId="0" borderId="0" xfId="0" applyNumberFormat="1" applyFont="1"/>
    <xf numFmtId="3" fontId="13" fillId="0" borderId="0" xfId="0" applyNumberFormat="1" applyFo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9" fontId="28" fillId="0" borderId="0" xfId="15" applyFont="1"/>
    <xf numFmtId="9" fontId="13" fillId="0" borderId="0" xfId="15" applyFont="1" applyAlignment="1">
      <alignment horizontal="right"/>
    </xf>
    <xf numFmtId="9" fontId="13" fillId="0" borderId="0" xfId="15" applyFont="1"/>
    <xf numFmtId="9" fontId="14" fillId="0" borderId="0" xfId="15" applyFont="1"/>
    <xf numFmtId="3" fontId="5" fillId="0" borderId="0" xfId="0" applyNumberFormat="1" applyFont="1"/>
    <xf numFmtId="0" fontId="5" fillId="5" borderId="0" xfId="0" applyFont="1" applyFill="1"/>
    <xf numFmtId="17" fontId="29" fillId="0" borderId="0" xfId="0" applyNumberFormat="1" applyFont="1" applyAlignment="1">
      <alignment horizontal="center"/>
    </xf>
    <xf numFmtId="167" fontId="21" fillId="6" borderId="0" xfId="0" applyNumberFormat="1" applyFont="1" applyFill="1" applyAlignment="1" applyProtection="1">
      <alignment horizontal="right" vertical="center" wrapText="1"/>
      <protection locked="0"/>
    </xf>
    <xf numFmtId="167" fontId="21" fillId="6" borderId="0" xfId="0" applyNumberFormat="1" applyFont="1" applyFill="1" applyAlignment="1" applyProtection="1">
      <alignment horizontal="right" vertical="center" wrapText="1"/>
      <protection/>
    </xf>
    <xf numFmtId="167" fontId="20" fillId="0" borderId="0" xfId="0" applyNumberFormat="1" applyFont="1" applyAlignment="1">
      <alignment horizontal="right" vertical="center" wrapText="1"/>
    </xf>
    <xf numFmtId="165" fontId="6" fillId="0" borderId="0" xfId="0" applyNumberFormat="1" applyFont="1" applyFill="1"/>
    <xf numFmtId="168" fontId="6" fillId="0" borderId="0" xfId="0" applyNumberFormat="1" applyFont="1"/>
    <xf numFmtId="0" fontId="11" fillId="0" borderId="0" xfId="0" applyFont="1" applyFill="1" applyAlignment="1">
      <alignment horizontal="left" vertical="center"/>
    </xf>
    <xf numFmtId="167" fontId="22" fillId="0" borderId="1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 applyProtection="1">
      <alignment horizontal="right" vertical="center" wrapText="1"/>
      <protection locked="0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ny 16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0</xdr:col>
      <xdr:colOff>2495550</xdr:colOff>
      <xdr:row>2</xdr:row>
      <xdr:rowOff>123825</xdr:rowOff>
    </xdr:to>
    <xdr:pic>
      <xdr:nvPicPr>
        <xdr:cNvPr id="2" name="Picture 7" descr="medicalgorithmics_Logo_C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161925"/>
          <a:ext cx="2324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Niestandardowy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4:B20"/>
  <sheetViews>
    <sheetView showGridLines="0" tabSelected="1" workbookViewId="0" topLeftCell="A1">
      <selection activeCell="A22" sqref="A22"/>
    </sheetView>
  </sheetViews>
  <sheetFormatPr defaultColWidth="11.421875" defaultRowHeight="15"/>
  <cols>
    <col min="1" max="1" width="59.28125" style="80" customWidth="1"/>
    <col min="2" max="2" width="9.28125" style="80" bestFit="1" customWidth="1"/>
    <col min="3" max="16384" width="11.421875" style="80" customWidth="1"/>
  </cols>
  <sheetData>
    <row r="1" ht="15.75"/>
    <row r="2" ht="22.9" customHeight="1"/>
    <row r="3" ht="22.9" customHeight="1"/>
    <row r="4" spans="1:2" ht="22.9" customHeight="1" thickBot="1">
      <c r="A4" s="121" t="s">
        <v>298</v>
      </c>
      <c r="B4" s="121"/>
    </row>
    <row r="5" spans="1:2" ht="22.9" customHeight="1" thickBot="1">
      <c r="A5" s="119" t="s">
        <v>297</v>
      </c>
      <c r="B5" s="120"/>
    </row>
    <row r="7" ht="22.15" customHeight="1">
      <c r="A7" s="83" t="str">
        <f>HLOOKUP(Chosen,[0]!ToC_Headings,2,FALSE)</f>
        <v>SPIS TREŚCI</v>
      </c>
    </row>
    <row r="8" spans="1:2" ht="15">
      <c r="A8" s="91" t="str">
        <f>HLOOKUP(Chosen,[0]!ToC_Headings,3,FALSE)</f>
        <v xml:space="preserve">Uwaga: Skonsolidowane wyniki finansowe są sporządzane od I kw. 2016 r. </v>
      </c>
      <c r="B8" s="81"/>
    </row>
    <row r="9" spans="1:2" ht="24" customHeight="1">
      <c r="A9" s="80" t="str">
        <f>HLOOKUP(Chosen,[0]!ToC_Headings,4,FALSE)</f>
        <v>Skonsolidowane sprawozdanie z całkowitych dochodów</v>
      </c>
      <c r="B9" s="84" t="s">
        <v>155</v>
      </c>
    </row>
    <row r="10" spans="1:2" ht="15">
      <c r="A10" s="80" t="str">
        <f>HLOOKUP($A$5,[0]!ToC_Headings,5,FALSE)</f>
        <v>Skonsolidowane sprawozdanie z sytuacji finansowej</v>
      </c>
      <c r="B10" s="84" t="s">
        <v>156</v>
      </c>
    </row>
    <row r="11" spans="1:2" ht="15">
      <c r="A11" s="80" t="str">
        <f>HLOOKUP($A$5,[0]!ToC_Headings,6,FALSE)</f>
        <v>Skonsolidowane sprawozdanie z przepływów pieniężnych</v>
      </c>
      <c r="B11" s="84" t="s">
        <v>157</v>
      </c>
    </row>
    <row r="12" ht="15">
      <c r="B12" s="84"/>
    </row>
    <row r="13" spans="1:2" ht="15">
      <c r="A13" s="80" t="str">
        <f>HLOOKUP($A$5,[0]!ToC_Headings,8,FALSE)</f>
        <v>Jednostkowe sprawozdanie z całkowitych dochodów</v>
      </c>
      <c r="B13" s="84" t="s">
        <v>158</v>
      </c>
    </row>
    <row r="14" spans="1:2" ht="15">
      <c r="A14" s="80" t="str">
        <f>HLOOKUP($A$5,[0]!ToC_Headings,9,FALSE)</f>
        <v>Jednostkowe sprawozdanie z sytuacji finansowej</v>
      </c>
      <c r="B14" s="84" t="s">
        <v>159</v>
      </c>
    </row>
    <row r="15" spans="1:2" ht="15">
      <c r="A15" s="80" t="str">
        <f>HLOOKUP($A$5,[0]!ToC_Headings,10,FALSE)</f>
        <v>Jednostkowe sprawozdanie z przepływów pieniężnych</v>
      </c>
      <c r="B15" s="84" t="s">
        <v>160</v>
      </c>
    </row>
    <row r="16" ht="15">
      <c r="B16" s="84"/>
    </row>
    <row r="17" spans="1:2" ht="15">
      <c r="A17" s="80" t="str">
        <f>HLOOKUP($A$5,[0]!ToC_Headings,14,FALSE)</f>
        <v xml:space="preserve">Liczba złożonych wniosków o płatność od ubezpieczycieli </v>
      </c>
      <c r="B17" s="84" t="s">
        <v>1</v>
      </c>
    </row>
    <row r="18" spans="1:2" ht="15">
      <c r="A18" s="82"/>
      <c r="B18" s="87"/>
    </row>
    <row r="19" ht="15">
      <c r="B19" s="85"/>
    </row>
    <row r="20" ht="15">
      <c r="B20" s="86"/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A4:B4"/>
  </mergeCells>
  <dataValidations count="1">
    <dataValidation type="list" allowBlank="1" showInputMessage="1" showErrorMessage="1" prompt="Choose your language from the dropdown" error="Only valid languages are English &amp; Polish" sqref="A5">
      <formula1>Language</formula1>
    </dataValidation>
  </dataValidations>
  <hyperlinks>
    <hyperlink ref="B9" location="'P&amp;L CONS'!A1" display="P&amp;L CONS"/>
    <hyperlink ref="B10" location="'BS CONS'!A1" display="BS CONS"/>
    <hyperlink ref="B11" location="'CF CONS'!A1" display="CF CONS"/>
    <hyperlink ref="B13" location="'P&amp;L'!A1" display="P&amp;L "/>
    <hyperlink ref="B14" location="BS!A1" display="BS "/>
    <hyperlink ref="B15" location="CF!A1" display="CF "/>
    <hyperlink ref="B17" location="CLAIMS!A1" display="CLAIM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V44"/>
  <sheetViews>
    <sheetView showGridLines="0" workbookViewId="0" topLeftCell="A1">
      <pane xSplit="1" ySplit="2" topLeftCell="K3" activePane="bottomRight" state="frozen"/>
      <selection pane="topRight" activeCell="A1" sqref="A1"/>
      <selection pane="bottomLeft" activeCell="A1" sqref="A1"/>
      <selection pane="bottomRight" activeCell="R35" sqref="R35"/>
    </sheetView>
  </sheetViews>
  <sheetFormatPr defaultColWidth="9.140625" defaultRowHeight="15"/>
  <cols>
    <col min="1" max="1" width="47.421875" style="2" customWidth="1"/>
    <col min="2" max="18" width="14.00390625" style="2" customWidth="1"/>
    <col min="19" max="16384" width="9.140625" style="2" customWidth="1"/>
  </cols>
  <sheetData>
    <row r="1" ht="15">
      <c r="A1" s="76" t="str">
        <f>HLOOKUP(Chosen,Hide!$A$9:$C$11,2,FALSE)</f>
        <v>SPIS TREŚCI</v>
      </c>
    </row>
    <row r="2" spans="1:18" s="32" customFormat="1" ht="15">
      <c r="A2" s="90" t="str">
        <f>HLOOKUP(Chosen,Hide!$A$64:$C$99,36,FALSE)</f>
        <v>tys. PLN</v>
      </c>
      <c r="B2" s="58">
        <v>42460</v>
      </c>
      <c r="C2" s="58">
        <v>42551</v>
      </c>
      <c r="D2" s="58">
        <v>42643</v>
      </c>
      <c r="E2" s="58">
        <v>42735</v>
      </c>
      <c r="F2" s="58">
        <v>42825</v>
      </c>
      <c r="G2" s="58">
        <v>42916</v>
      </c>
      <c r="H2" s="58">
        <v>43008</v>
      </c>
      <c r="I2" s="58">
        <v>43100</v>
      </c>
      <c r="J2" s="58">
        <v>43190</v>
      </c>
      <c r="K2" s="58">
        <v>43281</v>
      </c>
      <c r="L2" s="58">
        <v>43373</v>
      </c>
      <c r="M2" s="58">
        <v>43465</v>
      </c>
      <c r="N2" s="58">
        <v>43555</v>
      </c>
      <c r="O2" s="58">
        <v>43646</v>
      </c>
      <c r="P2" s="58">
        <v>43738</v>
      </c>
      <c r="Q2" s="58">
        <v>43830</v>
      </c>
      <c r="R2" s="58">
        <v>43921</v>
      </c>
    </row>
    <row r="3" spans="1:48" ht="15">
      <c r="A3" s="43" t="str">
        <f>HLOOKUP(Chosen,[0]!BS_Cons,Hide!A65,FALSE)</f>
        <v>Wartości niematerialne</v>
      </c>
      <c r="B3" s="7">
        <v>115406</v>
      </c>
      <c r="C3" s="7">
        <v>126369</v>
      </c>
      <c r="D3" s="7">
        <v>127075</v>
      </c>
      <c r="E3" s="7">
        <v>237383</v>
      </c>
      <c r="F3" s="7">
        <v>223654</v>
      </c>
      <c r="G3" s="7">
        <v>210043</v>
      </c>
      <c r="H3" s="7">
        <v>206541.0828869761</v>
      </c>
      <c r="I3" s="7">
        <v>196900</v>
      </c>
      <c r="J3" s="7">
        <v>193051</v>
      </c>
      <c r="K3" s="7">
        <v>209501.93637085165</v>
      </c>
      <c r="L3" s="7">
        <v>206282.58248129123</v>
      </c>
      <c r="M3" s="7">
        <v>210453.62321308738</v>
      </c>
      <c r="N3" s="7">
        <v>214008.7623155709</v>
      </c>
      <c r="O3" s="7">
        <v>208163.3746130886</v>
      </c>
      <c r="P3" s="7">
        <v>220445.32833732013</v>
      </c>
      <c r="Q3" s="7">
        <v>209716.60894302189</v>
      </c>
      <c r="R3" s="7">
        <v>225903.20853855638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>
        <v>223653.5059286154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5">
      <c r="A4" s="43" t="str">
        <f>HLOOKUP(Chosen,[0]!BS_Cons,Hide!A66,FALSE)</f>
        <v>Rzeczowe aktywa trwałe</v>
      </c>
      <c r="B4" s="7">
        <v>4744</v>
      </c>
      <c r="C4" s="7">
        <v>15069</v>
      </c>
      <c r="D4" s="7">
        <v>15935</v>
      </c>
      <c r="E4" s="7">
        <v>22112</v>
      </c>
      <c r="F4" s="7">
        <v>22370</v>
      </c>
      <c r="G4" s="7">
        <v>20764</v>
      </c>
      <c r="H4" s="7">
        <v>18948.16904685015</v>
      </c>
      <c r="I4" s="7">
        <v>17249</v>
      </c>
      <c r="J4" s="7">
        <v>15793</v>
      </c>
      <c r="K4" s="7">
        <v>15782.888288331105</v>
      </c>
      <c r="L4" s="7">
        <v>15904.217871261802</v>
      </c>
      <c r="M4" s="7">
        <v>14684.982605060439</v>
      </c>
      <c r="N4" s="7">
        <v>41181.5980935217</v>
      </c>
      <c r="O4" s="7">
        <v>38866.57258707821</v>
      </c>
      <c r="P4" s="7">
        <v>36213.054878080846</v>
      </c>
      <c r="Q4" s="7">
        <v>31705.14448894119</v>
      </c>
      <c r="R4" s="7">
        <v>30234.61695557902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>
        <v>22369.668759103344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5">
      <c r="A5" s="43" t="str">
        <f>HLOOKUP(Chosen,[0]!BS_Cons,Hide!A67,FALSE)</f>
        <v>Należności długoterminowe</v>
      </c>
      <c r="B5" s="7">
        <v>5</v>
      </c>
      <c r="C5" s="7">
        <v>3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>
        <v>0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5">
      <c r="A6" s="43" t="str">
        <f>HLOOKUP(Chosen,[0]!BS_Cons,Hide!A68,FALSE)</f>
        <v>Aktywa finansowe</v>
      </c>
      <c r="B6" s="7">
        <v>34732</v>
      </c>
      <c r="C6" s="7">
        <v>34631</v>
      </c>
      <c r="D6" s="7">
        <v>30680</v>
      </c>
      <c r="E6" s="7">
        <v>18744</v>
      </c>
      <c r="F6" s="7">
        <v>19042</v>
      </c>
      <c r="G6" s="7">
        <v>15169</v>
      </c>
      <c r="H6" s="7">
        <v>10135.733168671011</v>
      </c>
      <c r="I6" s="7">
        <v>10910</v>
      </c>
      <c r="J6" s="7">
        <v>11037</v>
      </c>
      <c r="K6" s="7">
        <v>200</v>
      </c>
      <c r="L6" s="7">
        <v>200.00033078598977</v>
      </c>
      <c r="M6" s="7">
        <v>200.00033837300538</v>
      </c>
      <c r="N6" s="7">
        <v>200.00034528499842</v>
      </c>
      <c r="O6" s="7">
        <v>200.00033602398634</v>
      </c>
      <c r="P6" s="7">
        <v>200.0003600000143</v>
      </c>
      <c r="Q6" s="7">
        <v>200.0003417929709</v>
      </c>
      <c r="R6" s="7">
        <v>200.00037319397927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>
        <v>19042.26541672999</v>
      </c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5">
      <c r="A7" s="43" t="str">
        <f>HLOOKUP(Chosen,[0]!BS_Cons,Hide!A69,FALSE)</f>
        <v>Aktywa z tytułu odroczonego podatku dochodowego</v>
      </c>
      <c r="B7" s="7">
        <v>1835</v>
      </c>
      <c r="C7" s="7">
        <v>1580</v>
      </c>
      <c r="D7" s="7">
        <v>1814</v>
      </c>
      <c r="E7" s="7">
        <v>2085</v>
      </c>
      <c r="F7" s="7">
        <v>5145</v>
      </c>
      <c r="G7" s="7">
        <v>2856</v>
      </c>
      <c r="H7" s="7">
        <v>2866.129</v>
      </c>
      <c r="I7" s="7">
        <v>3514</v>
      </c>
      <c r="J7" s="7">
        <v>3823</v>
      </c>
      <c r="K7" s="7">
        <v>2673</v>
      </c>
      <c r="L7" s="7">
        <v>3261.656996918414</v>
      </c>
      <c r="M7" s="7">
        <v>1831.0042646550992</v>
      </c>
      <c r="N7" s="7">
        <v>1748.5221199999999</v>
      </c>
      <c r="O7" s="7">
        <v>2556.7182936</v>
      </c>
      <c r="P7" s="7">
        <v>3273.878</v>
      </c>
      <c r="Q7" s="7">
        <v>5240.2013383</v>
      </c>
      <c r="R7" s="7">
        <v>8982.882825577974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>
        <v>5145.1531599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s="6" customFormat="1" ht="15">
      <c r="A8" s="44" t="str">
        <f>HLOOKUP(Chosen,[0]!BS_Cons,Hide!A70,FALSE)</f>
        <v>Aktywa trwałe</v>
      </c>
      <c r="B8" s="8">
        <v>156722</v>
      </c>
      <c r="C8" s="8">
        <v>177652</v>
      </c>
      <c r="D8" s="8">
        <v>175506</v>
      </c>
      <c r="E8" s="8">
        <v>280325</v>
      </c>
      <c r="F8" s="8">
        <v>270211</v>
      </c>
      <c r="G8" s="8">
        <v>248832</v>
      </c>
      <c r="H8" s="8">
        <v>238491.11410249726</v>
      </c>
      <c r="I8" s="8">
        <v>228573</v>
      </c>
      <c r="J8" s="8">
        <v>223704</v>
      </c>
      <c r="K8" s="8">
        <v>228157.91299614272</v>
      </c>
      <c r="L8" s="8">
        <v>225648.5076802574</v>
      </c>
      <c r="M8" s="8">
        <v>227169.61042117592</v>
      </c>
      <c r="N8" s="8">
        <v>257139.5828743776</v>
      </c>
      <c r="O8" s="8">
        <v>249786.66582979079</v>
      </c>
      <c r="P8" s="8">
        <v>260132.26157540097</v>
      </c>
      <c r="Q8" s="8">
        <v>246861.95511205602</v>
      </c>
      <c r="R8" s="8">
        <v>265320.70869290736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5">
      <c r="A9" s="43" t="str">
        <f>HLOOKUP(Chosen,[0]!BS_Cons,Hide!A71,FALSE)</f>
        <v>Zapasy</v>
      </c>
      <c r="B9" s="7">
        <v>9202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5">
      <c r="A10" s="43" t="str">
        <f>HLOOKUP(Chosen,[0]!BS_Cons,Hide!A72,FALSE)</f>
        <v>Należności z tytułu dostaw i usług oraz pozostałe</v>
      </c>
      <c r="B10" s="7">
        <v>34944</v>
      </c>
      <c r="C10" s="7">
        <v>25984</v>
      </c>
      <c r="D10" s="7">
        <v>24225</v>
      </c>
      <c r="E10" s="7">
        <v>29867</v>
      </c>
      <c r="F10" s="7">
        <v>19257</v>
      </c>
      <c r="G10" s="7">
        <v>24787</v>
      </c>
      <c r="H10" s="7">
        <v>23711.546587001998</v>
      </c>
      <c r="I10" s="7">
        <v>23951</v>
      </c>
      <c r="J10" s="7">
        <v>28422</v>
      </c>
      <c r="K10" s="7">
        <v>26370.52692736</v>
      </c>
      <c r="L10" s="7">
        <v>19638.276128221998</v>
      </c>
      <c r="M10" s="7">
        <v>22781.361867579995</v>
      </c>
      <c r="N10" s="7">
        <v>25266.112653214797</v>
      </c>
      <c r="O10" s="7">
        <v>22286.421904586197</v>
      </c>
      <c r="P10" s="7">
        <v>24914.647582525457</v>
      </c>
      <c r="Q10" s="7">
        <v>25249.587120459073</v>
      </c>
      <c r="R10" s="7">
        <v>27613.373155239617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5">
      <c r="A11" s="43" t="str">
        <f>HLOOKUP(Chosen,[0]!BS_Cons,Hide!A73,FALSE)</f>
        <v>Aktywa finansowe</v>
      </c>
      <c r="B11" s="7">
        <v>14816</v>
      </c>
      <c r="C11" s="7">
        <v>0</v>
      </c>
      <c r="D11" s="7">
        <v>4346</v>
      </c>
      <c r="E11" s="7">
        <v>12159</v>
      </c>
      <c r="F11" s="7">
        <v>12353</v>
      </c>
      <c r="G11" s="7">
        <v>4236</v>
      </c>
      <c r="H11" s="7">
        <v>9172.3</v>
      </c>
      <c r="I11" s="7">
        <v>4226</v>
      </c>
      <c r="J11" s="7">
        <v>4276</v>
      </c>
      <c r="K11" s="7">
        <v>10705</v>
      </c>
      <c r="L11" s="7">
        <v>10737.5903</v>
      </c>
      <c r="M11" s="7">
        <v>5942.23069</v>
      </c>
      <c r="N11" s="7">
        <v>5920.019050000001</v>
      </c>
      <c r="O11" s="7">
        <v>0</v>
      </c>
      <c r="P11" s="7">
        <v>0</v>
      </c>
      <c r="Q11" s="7">
        <v>0</v>
      </c>
      <c r="R11" s="7">
        <v>0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5">
      <c r="A12" s="43" t="str">
        <f>HLOOKUP(Chosen,[0]!BS_Cons,Hide!A74,FALSE)</f>
        <v>Środki pieniężne i ich ekwiwalenty</v>
      </c>
      <c r="B12" s="7">
        <v>9837</v>
      </c>
      <c r="C12" s="7">
        <v>28999</v>
      </c>
      <c r="D12" s="7">
        <v>31280</v>
      </c>
      <c r="E12" s="7">
        <v>47540</v>
      </c>
      <c r="F12" s="7">
        <v>11976</v>
      </c>
      <c r="G12" s="7">
        <v>19203</v>
      </c>
      <c r="H12" s="7">
        <v>30188.330437153</v>
      </c>
      <c r="I12" s="7">
        <v>32531</v>
      </c>
      <c r="J12" s="7">
        <v>26029</v>
      </c>
      <c r="K12" s="7">
        <v>44440</v>
      </c>
      <c r="L12" s="7">
        <v>47801.715432248</v>
      </c>
      <c r="M12" s="7">
        <v>60188.71831175101</v>
      </c>
      <c r="N12" s="7">
        <v>63353.247295246714</v>
      </c>
      <c r="O12" s="7">
        <v>20886.935635073543</v>
      </c>
      <c r="P12" s="7">
        <v>18677.12965407733</v>
      </c>
      <c r="Q12" s="7">
        <v>11150.094682432078</v>
      </c>
      <c r="R12" s="7">
        <v>6271.269713824311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s="6" customFormat="1" ht="15">
      <c r="A13" s="44" t="str">
        <f>HLOOKUP(Chosen,[0]!BS_Cons,Hide!A75,FALSE)</f>
        <v>Aktywa obrotowe</v>
      </c>
      <c r="B13" s="8">
        <v>68799</v>
      </c>
      <c r="C13" s="8">
        <v>54983</v>
      </c>
      <c r="D13" s="8">
        <v>59851</v>
      </c>
      <c r="E13" s="8">
        <v>89566</v>
      </c>
      <c r="F13" s="8">
        <v>43586</v>
      </c>
      <c r="G13" s="8">
        <v>48226</v>
      </c>
      <c r="H13" s="8">
        <v>63072.277024154995</v>
      </c>
      <c r="I13" s="8">
        <v>60708</v>
      </c>
      <c r="J13" s="8">
        <v>58727</v>
      </c>
      <c r="K13" s="8">
        <v>81516</v>
      </c>
      <c r="L13" s="8">
        <v>78177.58186047</v>
      </c>
      <c r="M13" s="8">
        <v>88912.310869331</v>
      </c>
      <c r="N13" s="8">
        <v>94539.37899846151</v>
      </c>
      <c r="O13" s="8">
        <v>43173.357539659744</v>
      </c>
      <c r="P13" s="8">
        <v>43591.777236602786</v>
      </c>
      <c r="Q13" s="8">
        <v>36399.68180289115</v>
      </c>
      <c r="R13" s="8">
        <v>33884.49286906393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18" customFormat="1" ht="15">
      <c r="A14" s="45" t="str">
        <f>HLOOKUP(Chosen,[0]!BS_Cons,Hide!A76,FALSE)</f>
        <v>AKTYWA RAZEM</v>
      </c>
      <c r="B14" s="17">
        <v>225521</v>
      </c>
      <c r="C14" s="17">
        <v>232635</v>
      </c>
      <c r="D14" s="17">
        <v>235357</v>
      </c>
      <c r="E14" s="17">
        <v>369891</v>
      </c>
      <c r="F14" s="17">
        <v>313797</v>
      </c>
      <c r="G14" s="17">
        <v>297058</v>
      </c>
      <c r="H14" s="17">
        <v>301563.39112665225</v>
      </c>
      <c r="I14" s="17">
        <v>289281</v>
      </c>
      <c r="J14" s="17">
        <v>282431</v>
      </c>
      <c r="K14" s="17">
        <v>309673.97074366274</v>
      </c>
      <c r="L14" s="17">
        <v>303826.53954072745</v>
      </c>
      <c r="M14" s="17">
        <v>316081.92129050696</v>
      </c>
      <c r="N14" s="17">
        <v>351678.96187283914</v>
      </c>
      <c r="O14" s="17">
        <v>292960.02336945053</v>
      </c>
      <c r="P14" s="17">
        <v>303724.03881200374</v>
      </c>
      <c r="Q14" s="17">
        <v>283261.6369149472</v>
      </c>
      <c r="R14" s="17">
        <v>299205.3515619713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ht="15">
      <c r="A15" s="43" t="str">
        <f>HLOOKUP(Chosen,[0]!BS_Cons,Hide!A77,FALSE)</f>
        <v>Kapitał zakładowy</v>
      </c>
      <c r="B15" s="7">
        <v>361</v>
      </c>
      <c r="C15" s="7">
        <v>361</v>
      </c>
      <c r="D15" s="7">
        <v>361</v>
      </c>
      <c r="E15" s="7">
        <v>361</v>
      </c>
      <c r="F15" s="7">
        <v>361</v>
      </c>
      <c r="G15" s="7">
        <v>361</v>
      </c>
      <c r="H15" s="7">
        <v>360.65259999999995</v>
      </c>
      <c r="I15" s="7">
        <v>361</v>
      </c>
      <c r="J15" s="7">
        <v>361</v>
      </c>
      <c r="K15" s="7">
        <v>360.65259999999995</v>
      </c>
      <c r="L15" s="7">
        <v>360.65259999999995</v>
      </c>
      <c r="M15" s="7">
        <v>360.65259999999995</v>
      </c>
      <c r="N15" s="7">
        <v>360.65259999999995</v>
      </c>
      <c r="O15" s="7">
        <v>360.6526000000001</v>
      </c>
      <c r="P15" s="7">
        <v>360.6526</v>
      </c>
      <c r="Q15" s="7">
        <v>360.65259999999995</v>
      </c>
      <c r="R15" s="7">
        <v>360.65259999999995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5">
      <c r="A16" s="43" t="str">
        <f>HLOOKUP(Chosen,[0]!BS_Cons,Hide!A78,FALSE)</f>
        <v>Kapitał zapasowy</v>
      </c>
      <c r="B16" s="7">
        <v>116668</v>
      </c>
      <c r="C16" s="7">
        <v>124620</v>
      </c>
      <c r="D16" s="7">
        <v>124620</v>
      </c>
      <c r="E16" s="7">
        <v>124622</v>
      </c>
      <c r="F16" s="7">
        <v>124622</v>
      </c>
      <c r="G16" s="7">
        <v>124622</v>
      </c>
      <c r="H16" s="7">
        <v>124622.27051955703</v>
      </c>
      <c r="I16" s="7">
        <v>124622</v>
      </c>
      <c r="J16" s="7">
        <v>124622</v>
      </c>
      <c r="K16" s="7">
        <v>124622.27052232003</v>
      </c>
      <c r="L16" s="7">
        <v>124622.270520262</v>
      </c>
      <c r="M16" s="7">
        <v>124622.27052279109</v>
      </c>
      <c r="N16" s="7">
        <v>124622.27052509501</v>
      </c>
      <c r="O16" s="7">
        <v>124622.27052200798</v>
      </c>
      <c r="P16" s="7">
        <v>124622.27053000004</v>
      </c>
      <c r="Q16" s="7">
        <v>124622.27052393109</v>
      </c>
      <c r="R16" s="7">
        <v>124622.27053439814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5">
      <c r="A17" s="43" t="str">
        <f>HLOOKUP(Chosen,[0]!BS_Cons,Hide!A79,FALSE)</f>
        <v>Kapitał z wyceny programu motywacyjnego</v>
      </c>
      <c r="B17" s="7">
        <v>793</v>
      </c>
      <c r="C17" s="7">
        <v>1585</v>
      </c>
      <c r="D17" s="7">
        <v>2378</v>
      </c>
      <c r="E17" s="7">
        <v>3170</v>
      </c>
      <c r="F17" s="7">
        <v>4174</v>
      </c>
      <c r="G17" s="7">
        <v>5179</v>
      </c>
      <c r="H17" s="7">
        <v>5179</v>
      </c>
      <c r="I17" s="7">
        <v>5312</v>
      </c>
      <c r="J17" s="7">
        <v>6054</v>
      </c>
      <c r="K17" s="7">
        <v>6796.5</v>
      </c>
      <c r="L17" s="7">
        <v>7538.75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5">
      <c r="A18" s="43" t="str">
        <f>HLOOKUP(Chosen,[0]!BS_Cons,Hide!A80,FALSE)</f>
        <v>Zyski zatrzymane</v>
      </c>
      <c r="B18" s="7">
        <v>7941</v>
      </c>
      <c r="C18" s="7">
        <v>4716</v>
      </c>
      <c r="D18" s="7">
        <v>9221</v>
      </c>
      <c r="E18" s="7">
        <v>40108</v>
      </c>
      <c r="F18" s="7">
        <v>42070</v>
      </c>
      <c r="G18" s="7">
        <v>42634</v>
      </c>
      <c r="H18" s="7">
        <v>51087.71641489041</v>
      </c>
      <c r="I18" s="7">
        <v>58434</v>
      </c>
      <c r="J18" s="7">
        <v>62534</v>
      </c>
      <c r="K18" s="7">
        <v>59847.55212227663</v>
      </c>
      <c r="L18" s="7">
        <v>61694.685189883356</v>
      </c>
      <c r="M18" s="7">
        <v>72031.9302961186</v>
      </c>
      <c r="N18" s="7">
        <v>76498.92402269527</v>
      </c>
      <c r="O18" s="7">
        <v>77901.90606782874</v>
      </c>
      <c r="P18" s="7">
        <v>77981.72484575798</v>
      </c>
      <c r="Q18" s="7">
        <v>76310.9227890756</v>
      </c>
      <c r="R18" s="7">
        <v>73046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5">
      <c r="A19" s="43" t="str">
        <f>HLOOKUP(Chosen,[0]!BS_Cons,Hide!A81,FALSE)</f>
        <v>Różnice kursowe</v>
      </c>
      <c r="B19" s="11">
        <v>0</v>
      </c>
      <c r="C19" s="7">
        <v>-4006</v>
      </c>
      <c r="D19" s="7">
        <v>-2274</v>
      </c>
      <c r="E19" s="7">
        <v>8709</v>
      </c>
      <c r="F19" s="7">
        <v>561</v>
      </c>
      <c r="G19" s="7">
        <v>-9598</v>
      </c>
      <c r="H19" s="7">
        <v>-12006.859082095325</v>
      </c>
      <c r="I19" s="7">
        <v>-19816</v>
      </c>
      <c r="J19" s="7">
        <v>-22781</v>
      </c>
      <c r="K19" s="7">
        <v>-7896.680713666445</v>
      </c>
      <c r="L19" s="7">
        <v>-11060.02612873363</v>
      </c>
      <c r="M19" s="7">
        <v>-7150.746326524556</v>
      </c>
      <c r="N19" s="7">
        <v>-3532.9819182376627</v>
      </c>
      <c r="O19" s="7">
        <v>-8399.544564938622</v>
      </c>
      <c r="P19" s="7">
        <v>3225.1408260968446</v>
      </c>
      <c r="Q19" s="7">
        <v>-5453.996188612817</v>
      </c>
      <c r="R19" s="7">
        <v>8709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s="6" customFormat="1" ht="15">
      <c r="A20" s="44" t="str">
        <f>HLOOKUP(Chosen,[0]!BS_Cons,Hide!A82,FALSE)</f>
        <v>Kapitał własny przypadający na Akcjonariuszy Jednostki Dominującej</v>
      </c>
      <c r="B20" s="8">
        <v>125763</v>
      </c>
      <c r="C20" s="8">
        <v>127276</v>
      </c>
      <c r="D20" s="8">
        <v>134306</v>
      </c>
      <c r="E20" s="8">
        <v>176970</v>
      </c>
      <c r="F20" s="8">
        <v>171788</v>
      </c>
      <c r="G20" s="8">
        <v>163198</v>
      </c>
      <c r="H20" s="8">
        <v>169242.78045235213</v>
      </c>
      <c r="I20" s="8">
        <v>168913</v>
      </c>
      <c r="J20" s="8">
        <v>170790</v>
      </c>
      <c r="K20" s="8">
        <v>183730.5445309302</v>
      </c>
      <c r="L20" s="8">
        <v>183156.53218141172</v>
      </c>
      <c r="M20" s="8">
        <v>189864.10709238515</v>
      </c>
      <c r="N20" s="8">
        <v>197948.8652295526</v>
      </c>
      <c r="O20" s="8">
        <v>194485.2846248981</v>
      </c>
      <c r="P20" s="8">
        <v>206189.78880185485</v>
      </c>
      <c r="Q20" s="8">
        <v>195839.84972439386</v>
      </c>
      <c r="R20" s="8">
        <v>206738.45533613852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s="6" customFormat="1" ht="15">
      <c r="A21" s="44" t="str">
        <f>HLOOKUP(Chosen,[0]!BS_Cons,Hide!A83,FALSE)</f>
        <v>Udziały niedające kontroli</v>
      </c>
      <c r="B21" s="8">
        <v>7926</v>
      </c>
      <c r="C21" s="8">
        <v>6498</v>
      </c>
      <c r="D21" s="8">
        <v>7390</v>
      </c>
      <c r="E21" s="8">
        <v>37976</v>
      </c>
      <c r="F21" s="8">
        <v>34884</v>
      </c>
      <c r="G21" s="8">
        <v>36804</v>
      </c>
      <c r="H21" s="8">
        <v>39040.30856755155</v>
      </c>
      <c r="I21" s="8">
        <v>34820</v>
      </c>
      <c r="J21" s="8">
        <v>34062</v>
      </c>
      <c r="K21" s="8">
        <v>38086.54601243476</v>
      </c>
      <c r="L21" s="8">
        <v>37952.86423044423</v>
      </c>
      <c r="M21" s="8">
        <v>40897.50856083114</v>
      </c>
      <c r="N21" s="8">
        <v>42188.58928197095</v>
      </c>
      <c r="O21" s="8">
        <v>32504.973294913165</v>
      </c>
      <c r="P21" s="8">
        <v>33054.15905433112</v>
      </c>
      <c r="Q21" s="8">
        <v>28882.085519406726</v>
      </c>
      <c r="R21" s="8">
        <v>27721.13881581675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">
      <c r="A22" s="43" t="str">
        <f>HLOOKUP(Chosen,[0]!BS_Cons,Hide!A84,FALSE)</f>
        <v>Rezerwy</v>
      </c>
      <c r="B22" s="11">
        <v>0</v>
      </c>
      <c r="C22" s="7">
        <v>30</v>
      </c>
      <c r="D22" s="7">
        <v>55</v>
      </c>
      <c r="E22" s="7">
        <v>414</v>
      </c>
      <c r="F22" s="7">
        <v>474</v>
      </c>
      <c r="G22" s="7">
        <v>502</v>
      </c>
      <c r="H22" s="7">
        <v>401.65868</v>
      </c>
      <c r="I22" s="7">
        <v>1170</v>
      </c>
      <c r="J22" s="7">
        <v>971</v>
      </c>
      <c r="K22" s="7">
        <v>1408.67968064</v>
      </c>
      <c r="L22" s="7">
        <v>1722.502713776</v>
      </c>
      <c r="M22" s="7">
        <v>1789.575797732</v>
      </c>
      <c r="N22" s="7">
        <v>2101.247187</v>
      </c>
      <c r="O22" s="7">
        <v>2234.9895467999995</v>
      </c>
      <c r="P22" s="7">
        <v>2179.40025</v>
      </c>
      <c r="Q22" s="7">
        <v>2022.991938745</v>
      </c>
      <c r="R22" s="7">
        <v>2480.549605068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5">
      <c r="A23" s="43" t="str">
        <f>HLOOKUP(Chosen,[0]!BS_Cons,Hide!A85,FALSE)</f>
        <v>Rezerwa z tytułu odroczonego podatku dochodowego</v>
      </c>
      <c r="B23" s="7">
        <v>19</v>
      </c>
      <c r="C23" s="7">
        <v>454</v>
      </c>
      <c r="D23" s="7">
        <v>604</v>
      </c>
      <c r="E23" s="7">
        <v>3659</v>
      </c>
      <c r="F23" s="7">
        <v>3310</v>
      </c>
      <c r="G23" s="7">
        <v>2995</v>
      </c>
      <c r="H23" s="7">
        <v>3389.7673599406053</v>
      </c>
      <c r="I23" s="7">
        <v>2250</v>
      </c>
      <c r="J23" s="7">
        <v>2921</v>
      </c>
      <c r="K23" s="7">
        <v>3409.8260988257894</v>
      </c>
      <c r="L23" s="7">
        <v>3101.0701673572894</v>
      </c>
      <c r="M23" s="7">
        <v>3305.6427166374165</v>
      </c>
      <c r="N23" s="7">
        <v>3484.8324208101903</v>
      </c>
      <c r="O23" s="7">
        <v>3644.8846427029175</v>
      </c>
      <c r="P23" s="7">
        <v>3935.3207025450297</v>
      </c>
      <c r="Q23" s="7">
        <v>3343.278286991131</v>
      </c>
      <c r="R23" s="7">
        <v>5520.316497916516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5">
      <c r="A24" s="43" t="str">
        <f>HLOOKUP(Chosen,[0]!BS_Cons,Hide!A86,FALSE)</f>
        <v>Kredyty i pożyczki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232.46567882352946</v>
      </c>
      <c r="M24" s="7">
        <v>216.383295</v>
      </c>
      <c r="N24" s="7">
        <v>200.01993</v>
      </c>
      <c r="O24" s="7">
        <v>8099.570635714286</v>
      </c>
      <c r="P24" s="7">
        <v>5707.530381538462</v>
      </c>
      <c r="Q24" s="7">
        <v>9844.586087714288</v>
      </c>
      <c r="R24" s="7">
        <v>8575.742270909092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5">
      <c r="A25" s="43" t="str">
        <f>HLOOKUP(Chosen,[0]!BS_Cons,Hide!A87,FALSE)</f>
        <v>Zobowiązania z tytułu obligacji i inne zobowiązania finansowe</v>
      </c>
      <c r="B25" s="7">
        <v>24485</v>
      </c>
      <c r="C25" s="7">
        <v>75688</v>
      </c>
      <c r="D25" s="7">
        <v>74804</v>
      </c>
      <c r="E25" s="7">
        <v>76961</v>
      </c>
      <c r="F25" s="7">
        <v>65489</v>
      </c>
      <c r="G25" s="7">
        <v>64589</v>
      </c>
      <c r="H25" s="7">
        <v>64423.13979880001</v>
      </c>
      <c r="I25" s="7">
        <v>63794</v>
      </c>
      <c r="J25" s="7">
        <v>56779</v>
      </c>
      <c r="K25" s="7">
        <v>7447.755744000003</v>
      </c>
      <c r="L25" s="7">
        <v>7311.293124400006</v>
      </c>
      <c r="M25" s="7">
        <v>7478.986989199998</v>
      </c>
      <c r="N25" s="7">
        <v>19428.764784845032</v>
      </c>
      <c r="O25" s="7">
        <v>17728.377248741992</v>
      </c>
      <c r="P25" s="7">
        <v>16460.06729848004</v>
      </c>
      <c r="Q25" s="7">
        <v>14393.789234556205</v>
      </c>
      <c r="R25" s="7">
        <v>14373.330470034405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5">
      <c r="A26" s="59" t="str">
        <f>HLOOKUP(Chosen,Hide!$A$64:$C$98,35,FALSE)</f>
        <v>Pozostałe zobowiązania</v>
      </c>
      <c r="B26" s="11">
        <v>0</v>
      </c>
      <c r="C26" s="7">
        <v>0</v>
      </c>
      <c r="D26" s="7">
        <v>0</v>
      </c>
      <c r="E26" s="7">
        <v>0</v>
      </c>
      <c r="F26" s="7">
        <v>0</v>
      </c>
      <c r="G26" s="7">
        <v>160</v>
      </c>
      <c r="H26" s="7">
        <v>160</v>
      </c>
      <c r="I26" s="7">
        <v>120</v>
      </c>
      <c r="J26" s="7">
        <v>120</v>
      </c>
      <c r="K26" s="7">
        <v>120</v>
      </c>
      <c r="L26" s="7">
        <v>80</v>
      </c>
      <c r="M26" s="7">
        <v>80</v>
      </c>
      <c r="N26" s="7">
        <v>80</v>
      </c>
      <c r="O26" s="7">
        <v>40</v>
      </c>
      <c r="P26" s="7">
        <v>40</v>
      </c>
      <c r="Q26" s="7">
        <v>0</v>
      </c>
      <c r="R26" s="7">
        <v>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5">
      <c r="A27" s="43" t="str">
        <f>HLOOKUP(Chosen,[0]!BS_Cons,Hide!A88,FALSE)</f>
        <v>Rozliczenia międzyokresowe</v>
      </c>
      <c r="B27" s="11">
        <v>0</v>
      </c>
      <c r="C27" s="7">
        <v>1208</v>
      </c>
      <c r="D27" s="7">
        <v>708</v>
      </c>
      <c r="E27" s="7">
        <v>629</v>
      </c>
      <c r="F27" s="7">
        <v>550</v>
      </c>
      <c r="G27" s="7">
        <v>472</v>
      </c>
      <c r="H27" s="7">
        <v>393.19919000000004</v>
      </c>
      <c r="I27" s="7">
        <v>315</v>
      </c>
      <c r="J27" s="7">
        <v>236</v>
      </c>
      <c r="K27" s="7">
        <v>239.3945</v>
      </c>
      <c r="L27" s="7">
        <v>287.37938</v>
      </c>
      <c r="M27" s="7">
        <v>385.88148000000007</v>
      </c>
      <c r="N27" s="7">
        <v>517.72914</v>
      </c>
      <c r="O27" s="7">
        <v>686.75741</v>
      </c>
      <c r="P27" s="7">
        <v>856.33223</v>
      </c>
      <c r="Q27" s="7">
        <v>1026.4482319079998</v>
      </c>
      <c r="R27" s="7">
        <v>1075.729398378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s="6" customFormat="1" ht="15">
      <c r="A28" s="44" t="str">
        <f>HLOOKUP(Chosen,[0]!BS_Cons,Hide!A89,FALSE)</f>
        <v>Zobowiązania długoterminowe</v>
      </c>
      <c r="B28" s="8">
        <v>24504</v>
      </c>
      <c r="C28" s="8">
        <v>77380</v>
      </c>
      <c r="D28" s="8">
        <v>76171</v>
      </c>
      <c r="E28" s="8">
        <v>81663</v>
      </c>
      <c r="F28" s="8">
        <v>69823</v>
      </c>
      <c r="G28" s="8">
        <v>68718</v>
      </c>
      <c r="H28" s="8">
        <v>68767.76502874061</v>
      </c>
      <c r="I28" s="8">
        <v>67649</v>
      </c>
      <c r="J28" s="8">
        <v>61027</v>
      </c>
      <c r="K28" s="8">
        <v>12625.656023465794</v>
      </c>
      <c r="L28" s="8">
        <v>12734.491064356826</v>
      </c>
      <c r="M28" s="8">
        <v>13256.520278569413</v>
      </c>
      <c r="N28" s="8">
        <v>25812.593462655223</v>
      </c>
      <c r="O28" s="8">
        <v>32434.579483959194</v>
      </c>
      <c r="P28" s="8">
        <v>29178.43086256353</v>
      </c>
      <c r="Q28" s="8">
        <v>30631.09377991462</v>
      </c>
      <c r="R28" s="8">
        <v>32025.668242306012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">
      <c r="A29" s="43" t="str">
        <f>HLOOKUP(Chosen,[0]!BS_Cons,Hide!A90,FALSE)</f>
        <v>Kredyty i pożyczki</v>
      </c>
      <c r="B29" s="7">
        <v>1072</v>
      </c>
      <c r="C29" s="7">
        <v>1026</v>
      </c>
      <c r="D29" s="7">
        <v>856</v>
      </c>
      <c r="E29" s="7">
        <v>69</v>
      </c>
      <c r="F29" s="7">
        <v>1303</v>
      </c>
      <c r="G29" s="7">
        <v>2582</v>
      </c>
      <c r="H29" s="7">
        <v>591.5321685949999</v>
      </c>
      <c r="I29" s="7">
        <v>873</v>
      </c>
      <c r="J29" s="7">
        <v>8</v>
      </c>
      <c r="K29" s="7">
        <v>28.48427</v>
      </c>
      <c r="L29" s="7">
        <v>103.24953117647057</v>
      </c>
      <c r="M29" s="7">
        <v>111.47877500000003</v>
      </c>
      <c r="N29" s="7">
        <v>114.63051000000002</v>
      </c>
      <c r="O29" s="7">
        <v>9587.648774285713</v>
      </c>
      <c r="P29" s="7">
        <v>9631.117958461538</v>
      </c>
      <c r="Q29" s="7">
        <v>3057.3384522857145</v>
      </c>
      <c r="R29" s="7">
        <v>3100.0116090909096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5">
      <c r="A30" s="43" t="str">
        <f>HLOOKUP(Chosen,[0]!BS_Cons,Hide!A91,FALSE)</f>
        <v>Zobowiązania z tytułu obligacji i inne zobowiązania finansowe</v>
      </c>
      <c r="B30" s="7">
        <v>55700</v>
      </c>
      <c r="C30" s="7">
        <v>8840</v>
      </c>
      <c r="D30" s="7">
        <v>10056</v>
      </c>
      <c r="E30" s="7">
        <v>10511</v>
      </c>
      <c r="F30" s="7">
        <v>16817</v>
      </c>
      <c r="G30" s="7">
        <v>7912</v>
      </c>
      <c r="H30" s="7">
        <v>8709.639792815005</v>
      </c>
      <c r="I30" s="7">
        <v>7887</v>
      </c>
      <c r="J30" s="7">
        <v>7814</v>
      </c>
      <c r="K30" s="7">
        <v>57959.4869612</v>
      </c>
      <c r="L30" s="7">
        <v>58708.8790706</v>
      </c>
      <c r="M30" s="7">
        <v>58398.8296663</v>
      </c>
      <c r="N30" s="7">
        <v>71885.66433613305</v>
      </c>
      <c r="O30" s="7">
        <v>12335.509561696628</v>
      </c>
      <c r="P30" s="7">
        <v>13509.32693250228</v>
      </c>
      <c r="Q30" s="7">
        <v>13015.16149657986</v>
      </c>
      <c r="R30" s="7">
        <v>14066.320153618335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5">
      <c r="A31" s="43" t="str">
        <f>HLOOKUP(Chosen,[0]!BS_Cons,Hide!A92,FALSE)</f>
        <v>Zobowiązania z tytułu dostaw i usług oraz pozostałe</v>
      </c>
      <c r="B31" s="7">
        <v>4476</v>
      </c>
      <c r="C31" s="7">
        <v>8329</v>
      </c>
      <c r="D31" s="7">
        <v>4458</v>
      </c>
      <c r="E31" s="7">
        <v>61752</v>
      </c>
      <c r="F31" s="7">
        <v>17081</v>
      </c>
      <c r="G31" s="7">
        <v>16266</v>
      </c>
      <c r="H31" s="7">
        <v>13326.488470398</v>
      </c>
      <c r="I31" s="7">
        <v>7522</v>
      </c>
      <c r="J31" s="7">
        <v>6772</v>
      </c>
      <c r="K31" s="7">
        <v>16045.164867600004</v>
      </c>
      <c r="L31" s="7">
        <v>9333.799847908</v>
      </c>
      <c r="M31" s="7">
        <v>10717.473219618856</v>
      </c>
      <c r="N31" s="7">
        <v>11218.370847350378</v>
      </c>
      <c r="O31" s="7">
        <v>8533.46103750906</v>
      </c>
      <c r="P31" s="7">
        <v>9590.098765540968</v>
      </c>
      <c r="Q31" s="7">
        <v>9443.647719045679</v>
      </c>
      <c r="R31" s="7">
        <v>12740.777177466556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5">
      <c r="A32" s="43" t="str">
        <f>HLOOKUP(Chosen,[0]!BS_Cons,Hide!A93,FALSE)</f>
        <v>Zobowiązania z tytułu podatku dochodowego</v>
      </c>
      <c r="B32" s="7">
        <v>0</v>
      </c>
      <c r="C32" s="7">
        <v>606</v>
      </c>
      <c r="D32" s="7">
        <v>333</v>
      </c>
      <c r="E32" s="7">
        <v>441</v>
      </c>
      <c r="F32" s="7">
        <v>104</v>
      </c>
      <c r="G32" s="7">
        <v>778</v>
      </c>
      <c r="H32" s="7">
        <v>1127.3342261999999</v>
      </c>
      <c r="I32" s="7">
        <v>311</v>
      </c>
      <c r="J32" s="7">
        <v>443</v>
      </c>
      <c r="K32" s="7">
        <v>24.6168</v>
      </c>
      <c r="L32" s="7">
        <v>37.268556</v>
      </c>
      <c r="M32" s="7">
        <v>263.9060939</v>
      </c>
      <c r="N32" s="7">
        <v>287.064687692</v>
      </c>
      <c r="O32" s="7">
        <v>158.72431521685795</v>
      </c>
      <c r="P32" s="7">
        <v>251.51524393143</v>
      </c>
      <c r="Q32" s="7">
        <v>54.287800319999995</v>
      </c>
      <c r="R32" s="7">
        <v>23.57820232172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s="6" customFormat="1" ht="15">
      <c r="A33" s="43" t="str">
        <f>HLOOKUP(Chosen,[0]!BS_Cons,Hide!A94,FALSE)</f>
        <v>Rozliczenia międzyokresowe</v>
      </c>
      <c r="B33" s="7">
        <v>6080</v>
      </c>
      <c r="C33" s="7">
        <v>2680</v>
      </c>
      <c r="D33" s="7">
        <v>1787</v>
      </c>
      <c r="E33" s="7">
        <v>509</v>
      </c>
      <c r="F33" s="7">
        <v>1997</v>
      </c>
      <c r="G33" s="7">
        <v>800</v>
      </c>
      <c r="H33" s="7">
        <v>757.3124200000001</v>
      </c>
      <c r="I33" s="7">
        <v>1306</v>
      </c>
      <c r="J33" s="7">
        <v>1515</v>
      </c>
      <c r="K33" s="7">
        <v>1173.0211795200003</v>
      </c>
      <c r="L33" s="7">
        <v>1799.505028954</v>
      </c>
      <c r="M33" s="7">
        <v>2572.368044161</v>
      </c>
      <c r="N33" s="7">
        <v>2222.4840604250003</v>
      </c>
      <c r="O33" s="7">
        <v>2919.342656776</v>
      </c>
      <c r="P33" s="7">
        <v>2319.96199</v>
      </c>
      <c r="Q33" s="7">
        <v>2338.5129869410016</v>
      </c>
      <c r="R33" s="7">
        <v>2789.402021454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6" customFormat="1" ht="15">
      <c r="A34" s="44" t="str">
        <f>HLOOKUP(Chosen,[0]!BS_Cons,Hide!A95,FALSE)</f>
        <v>Zobowiązania krótkoterminowe</v>
      </c>
      <c r="B34" s="8">
        <v>67328</v>
      </c>
      <c r="C34" s="8">
        <v>21480.99999999999</v>
      </c>
      <c r="D34" s="8">
        <v>17490</v>
      </c>
      <c r="E34" s="8">
        <v>73282</v>
      </c>
      <c r="F34" s="8">
        <v>37302</v>
      </c>
      <c r="G34" s="8">
        <v>28338</v>
      </c>
      <c r="H34" s="8">
        <v>24512.307078008005</v>
      </c>
      <c r="I34" s="8">
        <v>17899</v>
      </c>
      <c r="J34" s="8">
        <v>16552</v>
      </c>
      <c r="K34" s="8">
        <v>75230.47407832</v>
      </c>
      <c r="L34" s="8">
        <v>69982.70203463847</v>
      </c>
      <c r="M34" s="8">
        <v>72063.45579897986</v>
      </c>
      <c r="N34" s="8">
        <v>85728.21444160044</v>
      </c>
      <c r="O34" s="8">
        <v>33534.68634548426</v>
      </c>
      <c r="P34" s="8">
        <v>35302.02089043622</v>
      </c>
      <c r="Q34" s="8">
        <v>27908.948455172253</v>
      </c>
      <c r="R34" s="8">
        <v>32720.08916395152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6" customFormat="1" ht="15">
      <c r="A35" s="44" t="str">
        <f>HLOOKUP(Chosen,[0]!BS_Cons,Hide!A96,FALSE)</f>
        <v>Zobowiązania razem</v>
      </c>
      <c r="B35" s="8">
        <v>91832</v>
      </c>
      <c r="C35" s="8">
        <v>98860.99999999999</v>
      </c>
      <c r="D35" s="8">
        <v>93661</v>
      </c>
      <c r="E35" s="8">
        <v>154945</v>
      </c>
      <c r="F35" s="8">
        <v>107125</v>
      </c>
      <c r="G35" s="8">
        <v>97056</v>
      </c>
      <c r="H35" s="8">
        <v>93280.17210674862</v>
      </c>
      <c r="I35" s="8">
        <v>85548</v>
      </c>
      <c r="J35" s="8">
        <v>77579</v>
      </c>
      <c r="K35" s="8">
        <v>87856.13010178579</v>
      </c>
      <c r="L35" s="8">
        <v>82717.1930989953</v>
      </c>
      <c r="M35" s="8">
        <v>85319.97607754928</v>
      </c>
      <c r="N35" s="8">
        <v>111540.80790425566</v>
      </c>
      <c r="O35" s="8">
        <v>65969.66582944345</v>
      </c>
      <c r="P35" s="8">
        <v>64480.451752999754</v>
      </c>
      <c r="Q35" s="8">
        <v>58540.042235086876</v>
      </c>
      <c r="R35" s="8">
        <v>64745.75740625753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8" customFormat="1" ht="15">
      <c r="A36" s="45" t="str">
        <f>HLOOKUP(Chosen,[0]!BS_Cons,Hide!A97,FALSE)</f>
        <v>PASYWA RAZEM</v>
      </c>
      <c r="B36" s="17">
        <v>225521</v>
      </c>
      <c r="C36" s="17">
        <v>232635</v>
      </c>
      <c r="D36" s="17">
        <v>235357</v>
      </c>
      <c r="E36" s="17">
        <v>369891</v>
      </c>
      <c r="F36" s="17">
        <v>313797</v>
      </c>
      <c r="G36" s="17">
        <v>297058</v>
      </c>
      <c r="H36" s="17">
        <v>301563.2611266523</v>
      </c>
      <c r="I36" s="17">
        <v>289281</v>
      </c>
      <c r="J36" s="17">
        <v>282431</v>
      </c>
      <c r="K36" s="17">
        <v>309673.52064515074</v>
      </c>
      <c r="L36" s="17">
        <v>303826.5895108512</v>
      </c>
      <c r="M36" s="17">
        <v>316081.59173076553</v>
      </c>
      <c r="N36" s="17">
        <v>351678.51241577923</v>
      </c>
      <c r="O36" s="17">
        <v>292960.1737492547</v>
      </c>
      <c r="P36" s="17">
        <v>303724.39960918576</v>
      </c>
      <c r="Q36" s="17">
        <v>283261.9774788874</v>
      </c>
      <c r="R36" s="17">
        <v>299205.3515582128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2:48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3:48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2:48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2:48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2:48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2:48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2:48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2:48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Z56"/>
  <sheetViews>
    <sheetView showGridLines="0" workbookViewId="0" topLeftCell="A1">
      <pane xSplit="1" ySplit="2" topLeftCell="F30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Z41" sqref="W41:Z41"/>
    </sheetView>
  </sheetViews>
  <sheetFormatPr defaultColWidth="9.140625" defaultRowHeight="15" outlineLevelCol="1"/>
  <cols>
    <col min="1" max="1" width="50.7109375" style="2" customWidth="1"/>
    <col min="2" max="5" width="11.421875" style="2" hidden="1" customWidth="1" outlineLevel="1"/>
    <col min="6" max="6" width="11.421875" style="2" customWidth="1" collapsed="1"/>
    <col min="7" max="7" width="2.7109375" style="2" customWidth="1"/>
    <col min="8" max="11" width="11.421875" style="2" hidden="1" customWidth="1" outlineLevel="1"/>
    <col min="12" max="12" width="11.421875" style="2" customWidth="1" collapsed="1"/>
    <col min="13" max="13" width="2.7109375" style="2" customWidth="1"/>
    <col min="14" max="17" width="11.421875" style="2" hidden="1" customWidth="1" outlineLevel="1"/>
    <col min="18" max="18" width="11.421875" style="2" customWidth="1" collapsed="1"/>
    <col min="19" max="19" width="3.28125" style="2" customWidth="1"/>
    <col min="20" max="23" width="9.140625" style="2" customWidth="1" outlineLevel="1"/>
    <col min="24" max="24" width="9.140625" style="2" customWidth="1"/>
    <col min="25" max="25" width="3.28125" style="2" customWidth="1"/>
    <col min="26" max="26" width="9.28125" style="2" customWidth="1"/>
    <col min="27" max="16384" width="9.140625" style="2" customWidth="1"/>
  </cols>
  <sheetData>
    <row r="1" ht="15">
      <c r="A1" s="76" t="str">
        <f>HLOOKUP(Chosen,Hide!$A$9:$C$11,2,FALSE)</f>
        <v>SPIS TREŚCI</v>
      </c>
    </row>
    <row r="2" spans="1:26" s="32" customFormat="1" ht="15">
      <c r="A2" s="90" t="str">
        <f>HLOOKUP(Chosen,Hide!$A$64:$C$99,36,FALSE)</f>
        <v>tys. PLN</v>
      </c>
      <c r="B2" s="33" t="s">
        <v>11</v>
      </c>
      <c r="C2" s="33" t="s">
        <v>12</v>
      </c>
      <c r="D2" s="33" t="s">
        <v>13</v>
      </c>
      <c r="E2" s="33" t="s">
        <v>14</v>
      </c>
      <c r="F2" s="57">
        <v>2016</v>
      </c>
      <c r="H2" s="33" t="s">
        <v>15</v>
      </c>
      <c r="I2" s="33" t="s">
        <v>112</v>
      </c>
      <c r="J2" s="33" t="s">
        <v>322</v>
      </c>
      <c r="K2" s="33" t="s">
        <v>325</v>
      </c>
      <c r="L2" s="57">
        <v>2017</v>
      </c>
      <c r="N2" s="33" t="s">
        <v>328</v>
      </c>
      <c r="O2" s="33" t="s">
        <v>340</v>
      </c>
      <c r="P2" s="33" t="s">
        <v>347</v>
      </c>
      <c r="Q2" s="33" t="s">
        <v>357</v>
      </c>
      <c r="R2" s="57">
        <v>2018</v>
      </c>
      <c r="T2" s="33" t="s">
        <v>361</v>
      </c>
      <c r="U2" s="33" t="s">
        <v>362</v>
      </c>
      <c r="V2" s="33" t="s">
        <v>363</v>
      </c>
      <c r="W2" s="33" t="s">
        <v>364</v>
      </c>
      <c r="X2" s="57">
        <v>2019</v>
      </c>
      <c r="Z2" s="33" t="s">
        <v>386</v>
      </c>
    </row>
    <row r="3" spans="1:26" s="6" customFormat="1" ht="15">
      <c r="A3" s="36" t="str">
        <f>HLOOKUP(Chosen,Hide!$A$25:$C$48,2,FALSE)</f>
        <v>Przychody ze sprzedaży</v>
      </c>
      <c r="B3" s="5">
        <v>14739</v>
      </c>
      <c r="C3" s="5">
        <v>38083</v>
      </c>
      <c r="D3" s="5">
        <v>40392</v>
      </c>
      <c r="E3" s="5">
        <v>34707</v>
      </c>
      <c r="F3" s="5">
        <v>127921</v>
      </c>
      <c r="H3" s="5">
        <v>41446</v>
      </c>
      <c r="I3" s="5">
        <v>61096</v>
      </c>
      <c r="J3" s="5">
        <v>50301.64270027864</v>
      </c>
      <c r="K3" s="5">
        <v>50510.35729972136</v>
      </c>
      <c r="L3" s="5">
        <v>203354</v>
      </c>
      <c r="N3" s="5">
        <v>44491</v>
      </c>
      <c r="O3" s="5">
        <v>49217.97856506524</v>
      </c>
      <c r="P3" s="5">
        <v>48770.13495580775</v>
      </c>
      <c r="Q3" s="5">
        <v>56924.64885271556</v>
      </c>
      <c r="R3" s="5">
        <v>199403.76237358857</v>
      </c>
      <c r="T3" s="5">
        <v>48696.140405213664</v>
      </c>
      <c r="U3" s="5">
        <v>45401.38159863585</v>
      </c>
      <c r="V3" s="5">
        <v>42156.387194993134</v>
      </c>
      <c r="W3" s="5">
        <v>37616.336098572094</v>
      </c>
      <c r="X3" s="5">
        <v>173870.24529741475</v>
      </c>
      <c r="Z3" s="5">
        <v>36072.27876955836</v>
      </c>
    </row>
    <row r="4" spans="1:26" ht="15">
      <c r="A4" s="37" t="str">
        <f>HLOOKUP(Chosen,Hide!$A$25:$C$48,3,FALSE)</f>
        <v>Zużycie surowców i materiałów</v>
      </c>
      <c r="B4" s="7">
        <v>-1423</v>
      </c>
      <c r="C4" s="7">
        <v>-1367</v>
      </c>
      <c r="D4" s="7">
        <v>-901</v>
      </c>
      <c r="E4" s="7">
        <v>363</v>
      </c>
      <c r="F4" s="7">
        <v>-3328</v>
      </c>
      <c r="H4" s="7">
        <v>-1805</v>
      </c>
      <c r="I4" s="7">
        <v>-1066</v>
      </c>
      <c r="J4" s="7">
        <v>-1482.2657028168105</v>
      </c>
      <c r="K4" s="7">
        <v>-1896.7342971831895</v>
      </c>
      <c r="L4" s="7">
        <v>-6250</v>
      </c>
      <c r="N4" s="7">
        <v>-1873</v>
      </c>
      <c r="O4" s="7">
        <v>-2025.5809705046768</v>
      </c>
      <c r="P4" s="7">
        <v>-2435.2573391343617</v>
      </c>
      <c r="Q4" s="7">
        <v>-2751.283122758983</v>
      </c>
      <c r="R4" s="7">
        <v>-9085.121432398022</v>
      </c>
      <c r="T4" s="7">
        <v>-3056.327723984348</v>
      </c>
      <c r="U4" s="7">
        <v>-1529.8164489208143</v>
      </c>
      <c r="V4" s="7">
        <v>-1898.92613679843</v>
      </c>
      <c r="W4" s="7">
        <v>-1818.2180907064567</v>
      </c>
      <c r="X4" s="7">
        <v>-8303.288400410049</v>
      </c>
      <c r="Z4" s="7">
        <v>-3154.299896479275</v>
      </c>
    </row>
    <row r="5" spans="1:26" ht="15">
      <c r="A5" s="37" t="str">
        <f>HLOOKUP(Chosen,Hide!$A$25:$C$48,4,FALSE)</f>
        <v>Świadczenia pracownicze</v>
      </c>
      <c r="B5" s="7">
        <v>-3078</v>
      </c>
      <c r="C5" s="7">
        <v>-16106</v>
      </c>
      <c r="D5" s="7">
        <v>-17801</v>
      </c>
      <c r="E5" s="7">
        <v>-18282</v>
      </c>
      <c r="F5" s="7">
        <v>-55267</v>
      </c>
      <c r="H5" s="7">
        <v>-26329</v>
      </c>
      <c r="I5" s="7">
        <v>-28383</v>
      </c>
      <c r="J5" s="7">
        <v>-24387.873363946528</v>
      </c>
      <c r="K5" s="7">
        <v>-27481.126636053465</v>
      </c>
      <c r="L5" s="7">
        <v>-106581</v>
      </c>
      <c r="N5" s="7">
        <v>-24906</v>
      </c>
      <c r="O5" s="7">
        <v>-28382.905654708215</v>
      </c>
      <c r="P5" s="7">
        <v>-29178.9052671678</v>
      </c>
      <c r="Q5" s="7">
        <v>-28080.928723530364</v>
      </c>
      <c r="R5" s="7">
        <v>-110548.73964540639</v>
      </c>
      <c r="T5" s="7">
        <v>-24817.396625988666</v>
      </c>
      <c r="U5" s="7">
        <v>-24985.31965771167</v>
      </c>
      <c r="V5" s="7">
        <v>-27243.21052598634</v>
      </c>
      <c r="W5" s="7">
        <v>-25057.052155725993</v>
      </c>
      <c r="X5" s="7">
        <v>-102102.97896541267</v>
      </c>
      <c r="Z5" s="7">
        <v>-27250.63616387834</v>
      </c>
    </row>
    <row r="6" spans="1:26" ht="15">
      <c r="A6" s="37" t="str">
        <f>HLOOKUP(Chosen,Hide!$A$25:$C$48,5,FALSE)</f>
        <v>Amortyzacja</v>
      </c>
      <c r="B6" s="7">
        <v>-489</v>
      </c>
      <c r="C6" s="7">
        <v>-750</v>
      </c>
      <c r="D6" s="7">
        <v>-777</v>
      </c>
      <c r="E6" s="7">
        <v>-2578</v>
      </c>
      <c r="F6" s="7">
        <v>-4594</v>
      </c>
      <c r="H6" s="7">
        <v>-3426</v>
      </c>
      <c r="I6" s="7">
        <v>-3213</v>
      </c>
      <c r="J6" s="7">
        <v>-2996.595251403751</v>
      </c>
      <c r="K6" s="7">
        <v>-2834.404748596249</v>
      </c>
      <c r="L6" s="7">
        <v>-12470</v>
      </c>
      <c r="N6" s="7">
        <v>-2650</v>
      </c>
      <c r="O6" s="7">
        <v>-2839.2580760160126</v>
      </c>
      <c r="P6" s="7">
        <v>-2908.4944435045577</v>
      </c>
      <c r="Q6" s="7">
        <v>-3181.86074216043</v>
      </c>
      <c r="R6" s="7">
        <v>-11578.613261681001</v>
      </c>
      <c r="T6" s="7">
        <v>-4186.641685662858</v>
      </c>
      <c r="U6" s="7">
        <v>-4413.240450544967</v>
      </c>
      <c r="V6" s="7">
        <v>-5149.236054531279</v>
      </c>
      <c r="W6" s="7">
        <v>-4967.819468672802</v>
      </c>
      <c r="X6" s="7">
        <v>-18716.937659411906</v>
      </c>
      <c r="Z6" s="7">
        <v>-4048.626386359792</v>
      </c>
    </row>
    <row r="7" spans="1:26" ht="15">
      <c r="A7" s="37" t="str">
        <f>HLOOKUP(Chosen,Hide!$A$25:$C$48,6,FALSE)</f>
        <v>Usługi obce</v>
      </c>
      <c r="B7" s="7">
        <v>-15594</v>
      </c>
      <c r="C7" s="7">
        <v>-7635</v>
      </c>
      <c r="D7" s="7">
        <v>-10929</v>
      </c>
      <c r="E7" s="7">
        <v>-7285</v>
      </c>
      <c r="F7" s="7">
        <v>-41443</v>
      </c>
      <c r="H7" s="7">
        <v>-7630</v>
      </c>
      <c r="I7" s="7">
        <v>-9482</v>
      </c>
      <c r="J7" s="7">
        <v>-6952.2834938310625</v>
      </c>
      <c r="K7" s="7">
        <v>-6346.7165061689375</v>
      </c>
      <c r="L7" s="7">
        <v>-30411</v>
      </c>
      <c r="N7" s="7">
        <v>-6682</v>
      </c>
      <c r="O7" s="7">
        <v>-8174.65283644301</v>
      </c>
      <c r="P7" s="7">
        <v>-9365.466974844992</v>
      </c>
      <c r="Q7" s="7">
        <v>-9608.895095128588</v>
      </c>
      <c r="R7" s="7">
        <v>-33831.01490641659</v>
      </c>
      <c r="T7" s="7">
        <v>-9081.697374069034</v>
      </c>
      <c r="U7" s="7">
        <v>-10755.646042721695</v>
      </c>
      <c r="V7" s="7">
        <v>-8431.865167202086</v>
      </c>
      <c r="W7" s="7">
        <v>-9379.040305284365</v>
      </c>
      <c r="X7" s="7">
        <v>-37648.24888927718</v>
      </c>
      <c r="Z7" s="7">
        <v>-8733.090592993009</v>
      </c>
    </row>
    <row r="8" spans="1:26" ht="15">
      <c r="A8" s="38" t="str">
        <f>HLOOKUP(Chosen,Hide!$A$25:$C$48,7,FALSE)</f>
        <v>Pozostałe</v>
      </c>
      <c r="B8" s="7">
        <v>-179</v>
      </c>
      <c r="C8" s="7">
        <v>-1448</v>
      </c>
      <c r="D8" s="7">
        <v>-1293</v>
      </c>
      <c r="E8" s="7">
        <v>-1151</v>
      </c>
      <c r="F8" s="7">
        <v>-4071</v>
      </c>
      <c r="H8" s="7">
        <v>-1180</v>
      </c>
      <c r="I8" s="7">
        <v>-2468</v>
      </c>
      <c r="J8" s="7">
        <v>-582.5152758908348</v>
      </c>
      <c r="K8" s="7">
        <v>-1106.4847241091647</v>
      </c>
      <c r="L8" s="7">
        <v>-5337</v>
      </c>
      <c r="N8" s="7">
        <v>-1074</v>
      </c>
      <c r="O8" s="7">
        <v>-2249.43050869284</v>
      </c>
      <c r="P8" s="7">
        <v>-1218.5106655151596</v>
      </c>
      <c r="Q8" s="7">
        <v>-1668.840977835751</v>
      </c>
      <c r="R8" s="7">
        <v>-6210.78215204375</v>
      </c>
      <c r="T8" s="7">
        <v>-1888.1250576832836</v>
      </c>
      <c r="U8" s="7">
        <v>-2249.397018206353</v>
      </c>
      <c r="V8" s="7">
        <v>-1615.2308749293943</v>
      </c>
      <c r="W8" s="7">
        <v>-1683.761222632539</v>
      </c>
      <c r="X8" s="7">
        <v>-7436.51417345157</v>
      </c>
      <c r="Z8" s="7">
        <v>-1443.2625862402838</v>
      </c>
    </row>
    <row r="9" spans="1:26" s="6" customFormat="1" ht="15">
      <c r="A9" s="39" t="str">
        <f>HLOOKUP(Chosen,Hide!$A$25:$C$48,8,FALSE)</f>
        <v>Koszt własny razem</v>
      </c>
      <c r="B9" s="8">
        <v>-20763</v>
      </c>
      <c r="C9" s="8">
        <v>-27306</v>
      </c>
      <c r="D9" s="8">
        <v>-31701</v>
      </c>
      <c r="E9" s="8">
        <v>-28933</v>
      </c>
      <c r="F9" s="8">
        <v>-108703</v>
      </c>
      <c r="H9" s="8">
        <v>-40370</v>
      </c>
      <c r="I9" s="8">
        <v>-44612</v>
      </c>
      <c r="J9" s="8">
        <v>-36401.53308788899</v>
      </c>
      <c r="K9" s="8">
        <v>-39665.466912111006</v>
      </c>
      <c r="L9" s="8">
        <v>-161049</v>
      </c>
      <c r="N9" s="8">
        <v>-37185</v>
      </c>
      <c r="O9" s="8">
        <v>-43671.82804636475</v>
      </c>
      <c r="P9" s="8">
        <v>-45106.49469016687</v>
      </c>
      <c r="Q9" s="8">
        <v>-45292.2486614141</v>
      </c>
      <c r="R9" s="8">
        <v>-171254.57139794572</v>
      </c>
      <c r="T9" s="8">
        <v>-43030.18846738819</v>
      </c>
      <c r="U9" s="8">
        <v>-43933.4196181055</v>
      </c>
      <c r="V9" s="8">
        <v>-44338.328759447526</v>
      </c>
      <c r="W9" s="8">
        <v>-42906.33124302214</v>
      </c>
      <c r="X9" s="8">
        <v>-174208.26808796337</v>
      </c>
      <c r="Z9" s="8">
        <v>-44629.9156259507</v>
      </c>
    </row>
    <row r="10" spans="1:26" s="6" customFormat="1" ht="15">
      <c r="A10" s="36" t="str">
        <f>HLOOKUP(Chosen,Hide!$A$25:$C$48,9,FALSE)</f>
        <v>Zysk/(strata) na sprzedaży</v>
      </c>
      <c r="B10" s="8">
        <v>-6024</v>
      </c>
      <c r="C10" s="8">
        <v>10777</v>
      </c>
      <c r="D10" s="8">
        <v>8691</v>
      </c>
      <c r="E10" s="8">
        <v>5774</v>
      </c>
      <c r="F10" s="8">
        <v>19218</v>
      </c>
      <c r="H10" s="8">
        <v>1076</v>
      </c>
      <c r="I10" s="8">
        <v>16484</v>
      </c>
      <c r="J10" s="8">
        <v>13900.10961238965</v>
      </c>
      <c r="K10" s="8">
        <v>10844.89038761035</v>
      </c>
      <c r="L10" s="8">
        <v>42305</v>
      </c>
      <c r="N10" s="8">
        <v>7306</v>
      </c>
      <c r="O10" s="8">
        <v>5546.150518700488</v>
      </c>
      <c r="P10" s="8">
        <v>3663.6402656408754</v>
      </c>
      <c r="Q10" s="8">
        <v>11633.400191301487</v>
      </c>
      <c r="R10" s="8">
        <v>28149.19097564285</v>
      </c>
      <c r="T10" s="8">
        <v>5665.951937825477</v>
      </c>
      <c r="U10" s="8">
        <v>1467.9619805303519</v>
      </c>
      <c r="V10" s="8">
        <v>-2181.9415644543915</v>
      </c>
      <c r="W10" s="8">
        <v>-5289.995144450062</v>
      </c>
      <c r="X10" s="8">
        <v>-338.02279054862447</v>
      </c>
      <c r="Z10" s="8">
        <v>-8557.63685639234</v>
      </c>
    </row>
    <row r="11" spans="1:26" ht="15">
      <c r="A11" s="40" t="str">
        <f>HLOOKUP(Chosen,Hide!$A$25:$C$48,10,FALSE)</f>
        <v>Pozostałe przychody operacyjne</v>
      </c>
      <c r="B11" s="7">
        <v>387</v>
      </c>
      <c r="C11" s="7">
        <v>1265</v>
      </c>
      <c r="D11" s="7">
        <v>240</v>
      </c>
      <c r="E11" s="7">
        <v>27695</v>
      </c>
      <c r="F11" s="7">
        <v>29587</v>
      </c>
      <c r="H11" s="7">
        <v>240</v>
      </c>
      <c r="I11" s="7">
        <v>141</v>
      </c>
      <c r="J11" s="7">
        <v>288.50560999999993</v>
      </c>
      <c r="K11" s="7">
        <v>78.49439000000007</v>
      </c>
      <c r="L11" s="7">
        <v>748</v>
      </c>
      <c r="N11" s="7">
        <v>87</v>
      </c>
      <c r="O11" s="7">
        <v>79.12812</v>
      </c>
      <c r="P11" s="7">
        <v>88.78993000000003</v>
      </c>
      <c r="Q11" s="7">
        <v>93.40601453125001</v>
      </c>
      <c r="R11" s="7">
        <v>348.32406453125003</v>
      </c>
      <c r="T11" s="7">
        <v>662.8458996861697</v>
      </c>
      <c r="U11" s="7">
        <v>90.64364581908626</v>
      </c>
      <c r="V11" s="7">
        <v>89.51500080942917</v>
      </c>
      <c r="W11" s="7">
        <v>78.86428999041618</v>
      </c>
      <c r="X11" s="7">
        <v>921.8688363051012</v>
      </c>
      <c r="Z11" s="7">
        <v>0.6873313569</v>
      </c>
    </row>
    <row r="12" spans="1:26" ht="15">
      <c r="A12" s="40" t="str">
        <f>HLOOKUP(Chosen,Hide!$A$25:$C$48,11,FALSE)</f>
        <v>Pozostałe koszty operacyjne</v>
      </c>
      <c r="B12" s="7">
        <v>-492</v>
      </c>
      <c r="C12" s="7">
        <v>264</v>
      </c>
      <c r="D12" s="7">
        <v>-51</v>
      </c>
      <c r="E12" s="7">
        <v>-1996</v>
      </c>
      <c r="F12" s="7">
        <v>-2275</v>
      </c>
      <c r="H12" s="7">
        <v>-22</v>
      </c>
      <c r="I12" s="7">
        <v>-155</v>
      </c>
      <c r="J12" s="7">
        <v>-95.74174712922218</v>
      </c>
      <c r="K12" s="7">
        <v>-960.2582528707778</v>
      </c>
      <c r="L12" s="7">
        <v>-1233</v>
      </c>
      <c r="N12" s="7">
        <v>-320</v>
      </c>
      <c r="O12" s="7">
        <v>-1852.8948465401677</v>
      </c>
      <c r="P12" s="7">
        <v>-271.09847376383186</v>
      </c>
      <c r="Q12" s="7">
        <v>-1329.4801097605473</v>
      </c>
      <c r="R12" s="7">
        <v>-3773.473430064547</v>
      </c>
      <c r="T12" s="7">
        <v>-70.14759476465001</v>
      </c>
      <c r="U12" s="7">
        <v>-203.01161973758997</v>
      </c>
      <c r="V12" s="7">
        <v>-245.5247759580222</v>
      </c>
      <c r="W12" s="7">
        <v>-150.47482649953292</v>
      </c>
      <c r="X12" s="7">
        <v>-669.1588169597951</v>
      </c>
      <c r="Z12" s="7">
        <v>-60.98319697333334</v>
      </c>
    </row>
    <row r="13" spans="1:26" ht="15">
      <c r="A13" s="39" t="str">
        <f>HLOOKUP(Chosen,Hide!$A$25:$C$48,12,FALSE)</f>
        <v>Zysk/(strata) na działalności operacyjnej</v>
      </c>
      <c r="B13" s="8">
        <v>-6129</v>
      </c>
      <c r="C13" s="8">
        <v>12306</v>
      </c>
      <c r="D13" s="8">
        <v>8880</v>
      </c>
      <c r="E13" s="8">
        <v>31473</v>
      </c>
      <c r="F13" s="8">
        <v>46530</v>
      </c>
      <c r="H13" s="8">
        <v>1294</v>
      </c>
      <c r="I13" s="8">
        <v>16470</v>
      </c>
      <c r="J13" s="8">
        <v>14092.873475260427</v>
      </c>
      <c r="K13" s="8">
        <v>9963.126524739571</v>
      </c>
      <c r="L13" s="8">
        <v>41820</v>
      </c>
      <c r="N13" s="8">
        <v>7073</v>
      </c>
      <c r="O13" s="8">
        <v>3772.3837921603204</v>
      </c>
      <c r="P13" s="8">
        <v>3481.5117218770433</v>
      </c>
      <c r="Q13" s="8">
        <v>10397.14609607219</v>
      </c>
      <c r="R13" s="8">
        <v>24724.041610109554</v>
      </c>
      <c r="T13" s="8">
        <v>6258.650242746997</v>
      </c>
      <c r="U13" s="8">
        <v>1355.5940066118483</v>
      </c>
      <c r="V13" s="8">
        <v>-2337.7713396029844</v>
      </c>
      <c r="W13" s="8">
        <v>-5361.785680959179</v>
      </c>
      <c r="X13" s="8">
        <v>-85.31277120331833</v>
      </c>
      <c r="Z13" s="8">
        <v>-8617.932722008773</v>
      </c>
    </row>
    <row r="14" spans="1:26" ht="15">
      <c r="A14" s="40" t="str">
        <f>HLOOKUP(Chosen,Hide!$A$25:$C$48,13,FALSE)</f>
        <v>Przychody finansowe</v>
      </c>
      <c r="B14" s="7">
        <v>53</v>
      </c>
      <c r="C14" s="7">
        <v>2398</v>
      </c>
      <c r="D14" s="7">
        <v>-1753</v>
      </c>
      <c r="E14" s="7">
        <v>1130</v>
      </c>
      <c r="F14" s="7">
        <v>1828</v>
      </c>
      <c r="H14" s="7">
        <v>520</v>
      </c>
      <c r="I14" s="7">
        <v>164</v>
      </c>
      <c r="J14" s="7">
        <v>-95.10712510616747</v>
      </c>
      <c r="K14" s="7">
        <v>25.107125106167473</v>
      </c>
      <c r="L14" s="7">
        <v>614</v>
      </c>
      <c r="N14" s="7">
        <v>204</v>
      </c>
      <c r="O14" s="7">
        <v>458.18672088433243</v>
      </c>
      <c r="P14" s="7">
        <v>-72.02301373032105</v>
      </c>
      <c r="Q14" s="7">
        <v>122.23688862149038</v>
      </c>
      <c r="R14" s="7">
        <v>712.4005957755018</v>
      </c>
      <c r="T14" s="7">
        <v>153.18160869688307</v>
      </c>
      <c r="U14" s="7">
        <v>-86.21040740200341</v>
      </c>
      <c r="V14" s="7">
        <v>-8.199023474880725</v>
      </c>
      <c r="W14" s="7">
        <v>21.410639729700982</v>
      </c>
      <c r="X14" s="7">
        <v>80.18281754969992</v>
      </c>
      <c r="Z14" s="7">
        <v>849.3310680933334</v>
      </c>
    </row>
    <row r="15" spans="1:26" ht="15">
      <c r="A15" s="40" t="str">
        <f>HLOOKUP(Chosen,Hide!$A$25:$C$48,14,FALSE)</f>
        <v>Koszty finansowe</v>
      </c>
      <c r="B15" s="7">
        <v>-638</v>
      </c>
      <c r="C15" s="7">
        <v>-917</v>
      </c>
      <c r="D15" s="7">
        <v>-830</v>
      </c>
      <c r="E15" s="7">
        <v>-902</v>
      </c>
      <c r="F15" s="7">
        <v>-3287</v>
      </c>
      <c r="H15" s="7">
        <v>-1805</v>
      </c>
      <c r="I15" s="7">
        <v>-1735</v>
      </c>
      <c r="J15" s="7">
        <v>-983.5774100882763</v>
      </c>
      <c r="K15" s="7">
        <v>-1318.4225899117237</v>
      </c>
      <c r="L15" s="7">
        <v>-5842</v>
      </c>
      <c r="N15" s="7">
        <v>-1041</v>
      </c>
      <c r="O15" s="7">
        <v>-749.0966795850022</v>
      </c>
      <c r="P15" s="7">
        <v>-941.6462856489989</v>
      </c>
      <c r="Q15" s="7">
        <v>-1130.70754022275</v>
      </c>
      <c r="R15" s="7">
        <v>-3863.4505054567503</v>
      </c>
      <c r="T15" s="7">
        <v>-1012.5380608453077</v>
      </c>
      <c r="U15" s="7">
        <v>-857.5064756567598</v>
      </c>
      <c r="V15" s="7">
        <v>-139.42865706781618</v>
      </c>
      <c r="W15" s="7">
        <v>-640.2738998339175</v>
      </c>
      <c r="X15" s="7">
        <v>-2649.747093403801</v>
      </c>
      <c r="Z15" s="7">
        <v>-312.9062280689322</v>
      </c>
    </row>
    <row r="16" spans="1:26" s="6" customFormat="1" ht="15">
      <c r="A16" s="36" t="str">
        <f>HLOOKUP(Chosen,Hide!$A$25:$C$48,15,FALSE)</f>
        <v>Przychody/(koszty) finansowe netto</v>
      </c>
      <c r="B16" s="8">
        <v>-585</v>
      </c>
      <c r="C16" s="8">
        <v>1481</v>
      </c>
      <c r="D16" s="8">
        <v>-2583</v>
      </c>
      <c r="E16" s="8">
        <v>228</v>
      </c>
      <c r="F16" s="8">
        <v>-1459</v>
      </c>
      <c r="H16" s="8">
        <v>-1285</v>
      </c>
      <c r="I16" s="8">
        <v>-1571</v>
      </c>
      <c r="J16" s="8">
        <v>-1078.684535194444</v>
      </c>
      <c r="K16" s="8">
        <v>-1293.315464805556</v>
      </c>
      <c r="L16" s="8">
        <v>-5228</v>
      </c>
      <c r="N16" s="8">
        <v>-837</v>
      </c>
      <c r="O16" s="8">
        <v>-290.9099587006698</v>
      </c>
      <c r="P16" s="8">
        <v>-1013.6692993793199</v>
      </c>
      <c r="Q16" s="8">
        <v>-1009.4706516012589</v>
      </c>
      <c r="R16" s="8">
        <v>-3151.0499096812487</v>
      </c>
      <c r="T16" s="8">
        <v>-859.5064521484245</v>
      </c>
      <c r="U16" s="8">
        <v>-943.7168830587632</v>
      </c>
      <c r="V16" s="8">
        <v>-147.4776805426969</v>
      </c>
      <c r="W16" s="8">
        <v>-618.8632601042168</v>
      </c>
      <c r="X16" s="8">
        <v>-2569.564275854101</v>
      </c>
      <c r="Z16" s="8">
        <v>536.2748400244012</v>
      </c>
    </row>
    <row r="17" spans="1:26" ht="15">
      <c r="A17" s="36" t="str">
        <f>HLOOKUP(Chosen,Hide!$A$25:$C$48,16,FALSE)</f>
        <v>Zysk/(strata) przed opodatkowaniem</v>
      </c>
      <c r="B17" s="8">
        <v>-6714</v>
      </c>
      <c r="C17" s="8">
        <v>13787</v>
      </c>
      <c r="D17" s="8">
        <v>6297</v>
      </c>
      <c r="E17" s="8">
        <v>31701</v>
      </c>
      <c r="F17" s="8">
        <v>45071</v>
      </c>
      <c r="H17" s="8">
        <v>9</v>
      </c>
      <c r="I17" s="8">
        <v>14899</v>
      </c>
      <c r="J17" s="8">
        <v>13014.188940065982</v>
      </c>
      <c r="K17" s="8">
        <v>8669.811059934018</v>
      </c>
      <c r="L17" s="8">
        <v>36592</v>
      </c>
      <c r="N17" s="8">
        <v>6236</v>
      </c>
      <c r="O17" s="8">
        <v>3481.4738334596505</v>
      </c>
      <c r="P17" s="8">
        <v>2467.8424224977234</v>
      </c>
      <c r="Q17" s="8">
        <v>9387.67544447093</v>
      </c>
      <c r="R17" s="8">
        <v>21572.991700428305</v>
      </c>
      <c r="T17" s="8">
        <v>5399.143790598572</v>
      </c>
      <c r="U17" s="8">
        <v>411.8771235530851</v>
      </c>
      <c r="V17" s="8">
        <v>-2485.2490201456812</v>
      </c>
      <c r="W17" s="8">
        <v>-5980.648941063395</v>
      </c>
      <c r="X17" s="8">
        <v>-2654.8770470574195</v>
      </c>
      <c r="Z17" s="8">
        <v>-8081.657881984372</v>
      </c>
    </row>
    <row r="18" spans="1:26" ht="15">
      <c r="A18" s="37" t="str">
        <f>HLOOKUP(Chosen,Hide!$A$25:$C$48,17,FALSE)</f>
        <v>Podatek dochodowy</v>
      </c>
      <c r="B18" s="9">
        <v>730</v>
      </c>
      <c r="C18" s="9">
        <v>-1395</v>
      </c>
      <c r="D18" s="9">
        <v>-702</v>
      </c>
      <c r="E18" s="9">
        <v>-1700</v>
      </c>
      <c r="F18" s="9">
        <v>-3067</v>
      </c>
      <c r="H18" s="9">
        <v>1036</v>
      </c>
      <c r="I18" s="9">
        <v>-2908</v>
      </c>
      <c r="J18" s="9">
        <v>-1748.9049633593138</v>
      </c>
      <c r="K18" s="9">
        <v>681.904963359314</v>
      </c>
      <c r="L18" s="9">
        <v>-2939</v>
      </c>
      <c r="N18" s="9">
        <v>-948</v>
      </c>
      <c r="O18" s="9">
        <v>-312.8784119267078</v>
      </c>
      <c r="P18" s="9">
        <v>-46.489690132346105</v>
      </c>
      <c r="Q18" s="9">
        <v>-1317.5353814164835</v>
      </c>
      <c r="R18" s="9">
        <v>-2624.9034834755375</v>
      </c>
      <c r="T18" s="9">
        <v>-491.9031907241486</v>
      </c>
      <c r="U18" s="9">
        <v>208.92256334536364</v>
      </c>
      <c r="V18" s="9">
        <v>861.1619429062077</v>
      </c>
      <c r="W18" s="9">
        <v>1777.6499904166265</v>
      </c>
      <c r="X18" s="9">
        <v>2355.8313059440493</v>
      </c>
      <c r="Z18" s="9">
        <v>1146.8921844596955</v>
      </c>
    </row>
    <row r="19" spans="1:26" s="6" customFormat="1" ht="15">
      <c r="A19" s="36" t="str">
        <f>HLOOKUP(Chosen,Hide!$A$25:$C$48,18,FALSE)</f>
        <v>Zysk/(strata) netto z działalności kontynuowanej</v>
      </c>
      <c r="B19" s="8">
        <v>-5984</v>
      </c>
      <c r="C19" s="8">
        <v>12392</v>
      </c>
      <c r="D19" s="8">
        <v>5595</v>
      </c>
      <c r="E19" s="8">
        <v>30001</v>
      </c>
      <c r="F19" s="8">
        <v>42004</v>
      </c>
      <c r="H19" s="8">
        <v>1045</v>
      </c>
      <c r="I19" s="8">
        <v>11991</v>
      </c>
      <c r="J19" s="8">
        <v>11265.283976706669</v>
      </c>
      <c r="K19" s="8">
        <v>9351.716023293331</v>
      </c>
      <c r="L19" s="8">
        <v>33653</v>
      </c>
      <c r="N19" s="8">
        <v>5288</v>
      </c>
      <c r="O19" s="8">
        <v>3168.4954215329426</v>
      </c>
      <c r="P19" s="8">
        <v>2421.5127323653774</v>
      </c>
      <c r="Q19" s="8">
        <v>8070.080063054449</v>
      </c>
      <c r="R19" s="8">
        <v>18948.08821695277</v>
      </c>
      <c r="T19" s="8">
        <v>4907.240599874423</v>
      </c>
      <c r="U19" s="8">
        <v>620.7996868984487</v>
      </c>
      <c r="V19" s="8">
        <v>-1624.0870772394735</v>
      </c>
      <c r="W19" s="8">
        <v>-4202.998950646768</v>
      </c>
      <c r="X19" s="8">
        <v>-299.04574111337024</v>
      </c>
      <c r="Z19" s="8">
        <v>-6934.765697524676</v>
      </c>
    </row>
    <row r="20" spans="1:26" ht="30">
      <c r="A20" s="37" t="str">
        <f>HLOOKUP(Chosen,Hide!$A$25:$C$48,19,FALSE)</f>
        <v>Zysk/(strata) netto za okres sprawozdawczy przypadająca na Akcjonariuszy Jednostki Dominującej</v>
      </c>
      <c r="B20" s="7">
        <v>-5984</v>
      </c>
      <c r="C20" s="7">
        <v>10700</v>
      </c>
      <c r="D20" s="7">
        <v>4505</v>
      </c>
      <c r="E20" s="7">
        <v>30887</v>
      </c>
      <c r="F20" s="7">
        <v>40108</v>
      </c>
      <c r="H20" s="7">
        <v>1962</v>
      </c>
      <c r="I20" s="7">
        <v>7777</v>
      </c>
      <c r="J20" s="7">
        <v>8453.947082195893</v>
      </c>
      <c r="K20" s="7">
        <v>7346.052917804107</v>
      </c>
      <c r="L20" s="7">
        <v>25539</v>
      </c>
      <c r="N20" s="7">
        <v>4100</v>
      </c>
      <c r="O20" s="7">
        <v>2434.913925631763</v>
      </c>
      <c r="P20" s="7">
        <v>1846.5916916655442</v>
      </c>
      <c r="Q20" s="7">
        <v>6033.79577269068</v>
      </c>
      <c r="R20" s="7">
        <v>14416.301389987986</v>
      </c>
      <c r="T20" s="7">
        <v>4467.490170024015</v>
      </c>
      <c r="U20" s="7">
        <v>1402.4252385690252</v>
      </c>
      <c r="V20" s="7">
        <v>79.72216297647537</v>
      </c>
      <c r="W20" s="7">
        <v>-1670.76142239206</v>
      </c>
      <c r="X20" s="7">
        <v>4278.876149177456</v>
      </c>
      <c r="Z20" s="7">
        <v>-3264.518576855384</v>
      </c>
    </row>
    <row r="21" spans="1:26" ht="30">
      <c r="A21" s="37" t="str">
        <f>HLOOKUP(Chosen,Hide!$A$25:$C$48,20,FALSE)</f>
        <v>Zysk/(strata) netto za okres sprawozdawczy przypadająca na udziały niedające kontroli</v>
      </c>
      <c r="B21" s="7">
        <v>0</v>
      </c>
      <c r="C21" s="7">
        <v>1692</v>
      </c>
      <c r="D21" s="7">
        <v>1090</v>
      </c>
      <c r="E21" s="7">
        <v>-886</v>
      </c>
      <c r="F21" s="7">
        <v>1896</v>
      </c>
      <c r="H21" s="7">
        <v>-917</v>
      </c>
      <c r="I21" s="7">
        <v>4214</v>
      </c>
      <c r="J21" s="7">
        <v>2811.336894510776</v>
      </c>
      <c r="K21" s="7">
        <v>2005.663105489224</v>
      </c>
      <c r="L21" s="7">
        <v>8114</v>
      </c>
      <c r="N21" s="7">
        <v>1188</v>
      </c>
      <c r="O21" s="7">
        <v>732.544803656995</v>
      </c>
      <c r="P21" s="7">
        <v>574.9810406998495</v>
      </c>
      <c r="Q21" s="7">
        <v>2036.4609826078804</v>
      </c>
      <c r="R21" s="7">
        <v>4531.986826964725</v>
      </c>
      <c r="T21" s="7">
        <v>439.76042985040436</v>
      </c>
      <c r="U21" s="7">
        <v>-781.2755516705524</v>
      </c>
      <c r="V21" s="7">
        <v>-1704.4992402159328</v>
      </c>
      <c r="W21" s="7">
        <v>-2531.55752825478</v>
      </c>
      <c r="X21" s="7">
        <v>-4577.571890290861</v>
      </c>
      <c r="Z21" s="7">
        <v>-3670.397120669297</v>
      </c>
    </row>
    <row r="22" spans="1:26" s="6" customFormat="1" ht="15">
      <c r="A22" s="39"/>
      <c r="B22" s="8">
        <v>-5984</v>
      </c>
      <c r="C22" s="8">
        <v>12392</v>
      </c>
      <c r="D22" s="8">
        <v>5595</v>
      </c>
      <c r="E22" s="8">
        <v>30001</v>
      </c>
      <c r="F22" s="8">
        <v>42004</v>
      </c>
      <c r="H22" s="8">
        <v>1045</v>
      </c>
      <c r="I22" s="8">
        <v>11991</v>
      </c>
      <c r="J22" s="8">
        <v>11265.283976706669</v>
      </c>
      <c r="K22" s="8">
        <v>9351.716023293331</v>
      </c>
      <c r="L22" s="8">
        <v>33653</v>
      </c>
      <c r="N22" s="8">
        <v>5288</v>
      </c>
      <c r="O22" s="8">
        <v>3167.5087292887583</v>
      </c>
      <c r="P22" s="8">
        <v>2421.5727323653937</v>
      </c>
      <c r="Q22" s="8">
        <v>8070.20675529856</v>
      </c>
      <c r="R22" s="8">
        <v>18948.28821695271</v>
      </c>
      <c r="T22" s="8">
        <v>4907.25059987442</v>
      </c>
      <c r="U22" s="8">
        <v>621.1496868984727</v>
      </c>
      <c r="V22" s="8">
        <v>-1624.3770772394573</v>
      </c>
      <c r="W22" s="8">
        <v>-4202.71895064684</v>
      </c>
      <c r="X22" s="8">
        <v>-298.69574111340535</v>
      </c>
      <c r="Z22" s="8">
        <v>-6934.61569752468</v>
      </c>
    </row>
    <row r="23" spans="1:26" s="6" customFormat="1" ht="15">
      <c r="A23" s="39"/>
      <c r="B23" s="5"/>
      <c r="C23" s="5"/>
      <c r="D23" s="5"/>
      <c r="E23" s="5"/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T23" s="5"/>
      <c r="X23" s="5"/>
      <c r="Z23" s="5"/>
    </row>
    <row r="24" spans="1:26" s="6" customFormat="1" ht="15">
      <c r="A24" s="42" t="str">
        <f>HLOOKUP(Chosen,Hide!$A$25:$C$61,27,FALSE)</f>
        <v>Inne całkowite dochody</v>
      </c>
      <c r="B24" s="7"/>
      <c r="C24" s="7"/>
      <c r="D24" s="7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T24" s="7"/>
      <c r="X24" s="7"/>
      <c r="Z24" s="7"/>
    </row>
    <row r="25" spans="1:26" ht="15">
      <c r="A25" s="37" t="str">
        <f>HLOOKUP(Chosen,Hide!$A$25:$C$61,28,FALSE)</f>
        <v>Różnice kursowe z przeliczenia</v>
      </c>
      <c r="B25" s="11">
        <v>0</v>
      </c>
      <c r="C25" s="7">
        <v>-3762</v>
      </c>
      <c r="D25" s="7">
        <v>1310</v>
      </c>
      <c r="E25" s="7">
        <v>7914</v>
      </c>
      <c r="F25" s="7">
        <v>5462</v>
      </c>
      <c r="H25" s="7">
        <v>-7253</v>
      </c>
      <c r="I25" s="7">
        <v>-8712</v>
      </c>
      <c r="J25" s="7">
        <v>-2131.509085632151</v>
      </c>
      <c r="K25" s="7">
        <v>-6882.490914367849</v>
      </c>
      <c r="L25" s="7">
        <v>-24979</v>
      </c>
      <c r="M25" s="7"/>
      <c r="N25" s="7">
        <v>-2620</v>
      </c>
      <c r="O25" s="7">
        <v>13284.815636834726</v>
      </c>
      <c r="P25" s="7">
        <v>-2841.836984742554</v>
      </c>
      <c r="Q25" s="7">
        <v>3534.0561631096907</v>
      </c>
      <c r="R25" s="7">
        <v>11357.034815201863</v>
      </c>
      <c r="T25" s="7">
        <v>3247.2137390380894</v>
      </c>
      <c r="U25" s="7">
        <v>-4312.6293876909895</v>
      </c>
      <c r="V25" s="7">
        <v>10822.267809957353</v>
      </c>
      <c r="W25" s="7">
        <v>-7961.677987520275</v>
      </c>
      <c r="X25" s="7">
        <v>1795.1741737841794</v>
      </c>
      <c r="Z25" s="7">
        <v>11859.71446551931</v>
      </c>
    </row>
    <row r="26" spans="1:26" ht="30" customHeight="1">
      <c r="A26" s="88" t="str">
        <f>HLOOKUP(Chosen,Hide!$A$25:$C$61,29,FALSE)</f>
        <v>Różnice kursowe od pożyczek stanowiących część inwestycji netto w jednostki zależne</v>
      </c>
      <c r="B26" s="11">
        <v>0</v>
      </c>
      <c r="C26" s="7">
        <v>0</v>
      </c>
      <c r="D26" s="7">
        <v>0</v>
      </c>
      <c r="E26" s="7">
        <v>4449</v>
      </c>
      <c r="F26" s="7">
        <v>4449</v>
      </c>
      <c r="H26" s="7">
        <v>-3790</v>
      </c>
      <c r="I26" s="7">
        <v>-4619</v>
      </c>
      <c r="J26" s="7">
        <v>-1050.7934999999998</v>
      </c>
      <c r="K26" s="7">
        <v>-3349.2065000000002</v>
      </c>
      <c r="L26" s="7">
        <v>-12809</v>
      </c>
      <c r="M26" s="7"/>
      <c r="N26" s="7">
        <v>-1248</v>
      </c>
      <c r="O26" s="7">
        <v>6191.73016</v>
      </c>
      <c r="P26" s="7">
        <v>-1303.2227815000106</v>
      </c>
      <c r="Q26" s="7">
        <v>1623.2063155000105</v>
      </c>
      <c r="R26" s="7">
        <v>5263.713694</v>
      </c>
      <c r="T26" s="7">
        <v>1496.49437492</v>
      </c>
      <c r="U26" s="7">
        <v>-1873.99947492</v>
      </c>
      <c r="V26" s="7">
        <v>4458.57549</v>
      </c>
      <c r="W26" s="7">
        <v>-3431.56681</v>
      </c>
      <c r="X26" s="7">
        <v>649.5035799999999</v>
      </c>
      <c r="Z26" s="7">
        <v>5941.2684500000005</v>
      </c>
    </row>
    <row r="27" spans="1:26" ht="30" customHeight="1">
      <c r="A27" s="37" t="str">
        <f>HLOOKUP(Chosen,Hide!$A$25:$C$61,30,FALSE)</f>
        <v xml:space="preserve">Podatek odroczony od wyceny różnic kursowych od pożyczek </v>
      </c>
      <c r="B27" s="11">
        <v>0</v>
      </c>
      <c r="C27" s="7">
        <v>0</v>
      </c>
      <c r="D27" s="7">
        <v>0</v>
      </c>
      <c r="E27" s="7">
        <v>-845</v>
      </c>
      <c r="F27" s="7">
        <v>-845</v>
      </c>
      <c r="H27" s="7">
        <v>720</v>
      </c>
      <c r="I27" s="7">
        <v>878</v>
      </c>
      <c r="J27" s="7">
        <v>198.96635930000025</v>
      </c>
      <c r="K27" s="7">
        <v>548.0336406999998</v>
      </c>
      <c r="L27" s="7">
        <v>2345</v>
      </c>
      <c r="M27" s="7"/>
      <c r="N27" s="7">
        <v>238</v>
      </c>
      <c r="O27" s="7">
        <v>-1177.5087304</v>
      </c>
      <c r="P27" s="7">
        <v>247.84652848500184</v>
      </c>
      <c r="Q27" s="7">
        <v>-308.44339994500183</v>
      </c>
      <c r="R27" s="7">
        <v>-1000.1056018600001</v>
      </c>
      <c r="T27" s="7">
        <v>-284.35863123480004</v>
      </c>
      <c r="U27" s="7">
        <v>199.93290123480006</v>
      </c>
      <c r="V27" s="7">
        <v>-847.1293499999999</v>
      </c>
      <c r="W27" s="7">
        <v>652.0432999999998</v>
      </c>
      <c r="X27" s="7">
        <v>-279.51178</v>
      </c>
      <c r="Z27" s="7">
        <v>-1128.84101</v>
      </c>
    </row>
    <row r="28" spans="1:26" ht="15">
      <c r="A28" s="36" t="str">
        <f>HLOOKUP(Chosen,Hide!$A$25:$C$61,31,FALSE)</f>
        <v>Inne całkowite dochody</v>
      </c>
      <c r="B28" s="8">
        <v>0</v>
      </c>
      <c r="C28" s="8">
        <v>-3762</v>
      </c>
      <c r="D28" s="8">
        <v>1310</v>
      </c>
      <c r="E28" s="8">
        <v>11518</v>
      </c>
      <c r="F28" s="8">
        <v>9066</v>
      </c>
      <c r="H28" s="8">
        <v>-10323</v>
      </c>
      <c r="I28" s="8">
        <v>-12453</v>
      </c>
      <c r="J28" s="8">
        <v>-2983.5062263321506</v>
      </c>
      <c r="K28" s="8">
        <v>-9683.493773667848</v>
      </c>
      <c r="L28" s="8">
        <v>-35443</v>
      </c>
      <c r="M28" s="8"/>
      <c r="N28" s="8">
        <v>-3630</v>
      </c>
      <c r="O28" s="8">
        <v>18299.037066434725</v>
      </c>
      <c r="P28" s="8">
        <v>-3897.2132377575626</v>
      </c>
      <c r="Q28" s="8">
        <v>4848.819078664699</v>
      </c>
      <c r="R28" s="8">
        <v>15620.642907341862</v>
      </c>
      <c r="T28" s="8">
        <v>4459.34948272329</v>
      </c>
      <c r="U28" s="8">
        <v>-5986.695961376189</v>
      </c>
      <c r="V28" s="8">
        <v>14433.713949957353</v>
      </c>
      <c r="W28" s="8">
        <v>-10741.201497520273</v>
      </c>
      <c r="X28" s="8">
        <v>2165.1659737841796</v>
      </c>
      <c r="Z28" s="8">
        <v>16672.14190551931</v>
      </c>
    </row>
    <row r="29" spans="1:26" ht="30">
      <c r="A29" s="37" t="str">
        <f>HLOOKUP(Chosen,Hide!$A$25:$C$61,32,FALSE)</f>
        <v>Inne całkowite dochody przypadające na Akcjonariuszy Jednostki Dominującej</v>
      </c>
      <c r="B29" s="11">
        <v>0</v>
      </c>
      <c r="C29" s="7">
        <v>-4006</v>
      </c>
      <c r="D29" s="7">
        <v>1602</v>
      </c>
      <c r="E29" s="7">
        <v>11113</v>
      </c>
      <c r="F29" s="7">
        <v>8709</v>
      </c>
      <c r="H29" s="7">
        <v>-8148</v>
      </c>
      <c r="I29" s="7">
        <v>-10159</v>
      </c>
      <c r="J29" s="7">
        <v>-2408.657043989523</v>
      </c>
      <c r="K29" s="7">
        <v>-7809.342956010477</v>
      </c>
      <c r="L29" s="7">
        <v>-28525</v>
      </c>
      <c r="M29" s="7"/>
      <c r="N29" s="7">
        <v>-2965</v>
      </c>
      <c r="O29" s="7">
        <v>14884.000000000002</v>
      </c>
      <c r="P29" s="7">
        <v>-3163.085415067182</v>
      </c>
      <c r="Q29" s="7">
        <v>3909.339088542627</v>
      </c>
      <c r="R29" s="7">
        <v>12665.253673475447</v>
      </c>
      <c r="T29" s="7">
        <v>3617.7644082868974</v>
      </c>
      <c r="U29" s="7">
        <v>-4866.562646700958</v>
      </c>
      <c r="V29" s="7">
        <v>11624.68539103547</v>
      </c>
      <c r="W29" s="7">
        <v>-8679.137014709666</v>
      </c>
      <c r="X29" s="7">
        <v>1696.7501379117443</v>
      </c>
      <c r="Z29" s="7">
        <v>14162.69148843999</v>
      </c>
    </row>
    <row r="30" spans="1:26" ht="30">
      <c r="A30" s="37" t="str">
        <f>HLOOKUP(Chosen,Hide!$A$25:$C$61,33,FALSE)</f>
        <v>Inne całkowite dochody przypadające na udziały niedające kontroli</v>
      </c>
      <c r="B30" s="11">
        <v>0</v>
      </c>
      <c r="C30" s="7">
        <v>244</v>
      </c>
      <c r="D30" s="7">
        <v>-292</v>
      </c>
      <c r="E30" s="7">
        <v>405</v>
      </c>
      <c r="F30" s="7">
        <v>357</v>
      </c>
      <c r="H30" s="7">
        <v>-2175</v>
      </c>
      <c r="I30" s="7">
        <v>-2294</v>
      </c>
      <c r="J30" s="7">
        <v>-574.8391823426127</v>
      </c>
      <c r="K30" s="7">
        <v>-1874.1608176573873</v>
      </c>
      <c r="L30" s="7">
        <v>-6918</v>
      </c>
      <c r="M30" s="7"/>
      <c r="N30" s="7">
        <v>-665</v>
      </c>
      <c r="O30" s="7">
        <v>3414.9677801011703</v>
      </c>
      <c r="P30" s="7">
        <v>-734.2478226903768</v>
      </c>
      <c r="Q30" s="7">
        <v>939.8192764556266</v>
      </c>
      <c r="R30" s="7">
        <v>2955.53923386642</v>
      </c>
      <c r="T30" s="7">
        <v>841.4850744363915</v>
      </c>
      <c r="U30" s="7">
        <v>-1119.9333146752306</v>
      </c>
      <c r="V30" s="7">
        <v>2808.9285589218853</v>
      </c>
      <c r="W30" s="7">
        <v>-2062.3044828106113</v>
      </c>
      <c r="X30" s="7">
        <v>468.175835872435</v>
      </c>
      <c r="Z30" s="7">
        <v>2509.4504170793207</v>
      </c>
    </row>
    <row r="31" spans="1:26" ht="15">
      <c r="A31" s="36"/>
      <c r="B31" s="5"/>
      <c r="C31" s="5"/>
      <c r="D31" s="5"/>
      <c r="E31" s="5"/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s="5"/>
      <c r="U31" s="5"/>
      <c r="V31" s="5"/>
      <c r="W31" s="5"/>
      <c r="X31" s="5"/>
      <c r="Z31" s="5"/>
    </row>
    <row r="32" spans="1:26" ht="15">
      <c r="A32" s="42" t="str">
        <f>HLOOKUP(Chosen,Hide!$A$25:$C$61,35,FALSE)</f>
        <v>Całkowite dochody ogółem za okres sprawozdawczy</v>
      </c>
      <c r="B32" s="5"/>
      <c r="C32" s="5"/>
      <c r="D32" s="5"/>
      <c r="E32" s="5"/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s="5"/>
      <c r="U32" s="5"/>
      <c r="V32" s="5"/>
      <c r="W32" s="5"/>
      <c r="X32" s="5"/>
      <c r="Z32" s="5"/>
    </row>
    <row r="33" spans="1:26" ht="30">
      <c r="A33" s="37" t="str">
        <f>HLOOKUP(Chosen,Hide!$A$25:$C$61,36,FALSE)</f>
        <v>Całkowite dochody za okres sprawozdawczy przypadające na Akcjonariuszy Jednostki Dominującej</v>
      </c>
      <c r="B33" s="7">
        <v>-5984</v>
      </c>
      <c r="C33" s="7">
        <v>6694</v>
      </c>
      <c r="D33" s="7">
        <v>6107</v>
      </c>
      <c r="E33" s="7">
        <v>42000</v>
      </c>
      <c r="F33" s="7">
        <v>48817</v>
      </c>
      <c r="H33" s="7">
        <v>-6186</v>
      </c>
      <c r="I33" s="7">
        <v>-2382</v>
      </c>
      <c r="J33" s="7">
        <v>6045.29003820637</v>
      </c>
      <c r="K33" s="7">
        <v>-463.2900382063699</v>
      </c>
      <c r="L33" s="7">
        <v>-2986</v>
      </c>
      <c r="M33" s="7"/>
      <c r="N33" s="7">
        <v>1135</v>
      </c>
      <c r="O33" s="7">
        <v>17318.913925631765</v>
      </c>
      <c r="P33" s="7">
        <v>-1316.4937234016381</v>
      </c>
      <c r="Q33" s="7">
        <v>9944.034861233311</v>
      </c>
      <c r="R33" s="7">
        <v>27081.455063463436</v>
      </c>
      <c r="T33" s="7">
        <v>8085.394578310914</v>
      </c>
      <c r="U33" s="7">
        <v>-3465.277408131934</v>
      </c>
      <c r="V33" s="7">
        <v>11704.507554011945</v>
      </c>
      <c r="W33" s="7">
        <v>-10348.998437101725</v>
      </c>
      <c r="X33" s="7">
        <v>5975.626287089201</v>
      </c>
      <c r="Z33" s="7">
        <v>10898.472911584606</v>
      </c>
    </row>
    <row r="34" spans="1:26" ht="30">
      <c r="A34" s="37" t="str">
        <f>HLOOKUP(Chosen,Hide!$A$25:$C$61,37,FALSE)</f>
        <v>Całkowite dochody za okres sprawozdawczy przypadające na udziały niedające kontroli</v>
      </c>
      <c r="B34" s="7">
        <v>0</v>
      </c>
      <c r="C34" s="7">
        <v>1936</v>
      </c>
      <c r="D34" s="7">
        <v>798</v>
      </c>
      <c r="E34" s="7">
        <v>-481</v>
      </c>
      <c r="F34" s="7">
        <v>2253</v>
      </c>
      <c r="H34" s="7">
        <v>-3092</v>
      </c>
      <c r="I34" s="7">
        <v>1920</v>
      </c>
      <c r="J34" s="7">
        <v>2236.497712168163</v>
      </c>
      <c r="K34" s="7">
        <v>131.50228783183684</v>
      </c>
      <c r="L34" s="7">
        <v>1196</v>
      </c>
      <c r="M34" s="7"/>
      <c r="N34" s="7">
        <v>523</v>
      </c>
      <c r="O34" s="7">
        <v>4147.512583758165</v>
      </c>
      <c r="P34" s="7">
        <v>-159.2667819905273</v>
      </c>
      <c r="Q34" s="7">
        <v>2976.3802590635078</v>
      </c>
      <c r="R34" s="7">
        <v>7487.626060831146</v>
      </c>
      <c r="T34" s="7">
        <v>1281.475504286796</v>
      </c>
      <c r="U34" s="7">
        <v>-1900.5888663457831</v>
      </c>
      <c r="V34" s="7">
        <v>1104.4293187059525</v>
      </c>
      <c r="W34" s="7">
        <v>-4594.712011065392</v>
      </c>
      <c r="X34" s="7">
        <v>-4109.3960544184265</v>
      </c>
      <c r="Z34" s="7">
        <v>-1160.946703589976</v>
      </c>
    </row>
    <row r="35" spans="1:26" ht="15">
      <c r="A35" s="42" t="str">
        <f>HLOOKUP(Chosen,Hide!$A$25:$C$61,35,FALSE)</f>
        <v>Całkowite dochody ogółem za okres sprawozdawczy</v>
      </c>
      <c r="B35" s="8">
        <v>-5984</v>
      </c>
      <c r="C35" s="8">
        <v>8630</v>
      </c>
      <c r="D35" s="8">
        <v>6905</v>
      </c>
      <c r="E35" s="8">
        <v>41519</v>
      </c>
      <c r="F35" s="8">
        <v>51070</v>
      </c>
      <c r="H35" s="8">
        <v>-9278</v>
      </c>
      <c r="I35" s="8">
        <v>-462</v>
      </c>
      <c r="J35" s="8">
        <v>8281.457750374519</v>
      </c>
      <c r="K35" s="8">
        <v>-331.4577503745186</v>
      </c>
      <c r="L35" s="8">
        <v>-1790</v>
      </c>
      <c r="M35" s="8"/>
      <c r="N35" s="8">
        <v>1658</v>
      </c>
      <c r="O35" s="8">
        <v>21466.52650938993</v>
      </c>
      <c r="P35" s="8">
        <v>-1475.4905053921655</v>
      </c>
      <c r="Q35" s="8">
        <v>12920.095120296803</v>
      </c>
      <c r="R35" s="8">
        <v>34569.13112429457</v>
      </c>
      <c r="T35" s="8">
        <v>9366.49008259771</v>
      </c>
      <c r="U35" s="8">
        <v>-5365.546274477716</v>
      </c>
      <c r="V35" s="8">
        <v>12808.936872717897</v>
      </c>
      <c r="W35" s="8">
        <v>-14943.210448167116</v>
      </c>
      <c r="X35" s="8">
        <v>1866.6702326707743</v>
      </c>
      <c r="Z35" s="8">
        <v>9737.416207994629</v>
      </c>
    </row>
    <row r="36" spans="1:10" s="6" customFormat="1" ht="15">
      <c r="A36" s="2"/>
      <c r="B36" s="7"/>
      <c r="C36" s="7"/>
      <c r="D36" s="7"/>
      <c r="E36" s="7"/>
      <c r="F36" s="7"/>
      <c r="H36" s="7"/>
      <c r="I36" s="7"/>
      <c r="J36" s="7"/>
    </row>
    <row r="37" spans="1:26" s="6" customFormat="1" ht="30">
      <c r="A37" s="39" t="str">
        <f>HLOOKUP(Chosen,Hide!$A$25:$C$48,22,FALSE)</f>
        <v>Zysk/(strata) netto przypadający na Akcjonariuszy Jednostki Dominującej na jedną akcję (w złotych)</v>
      </c>
      <c r="B37" s="7"/>
      <c r="C37" s="7"/>
      <c r="D37" s="7"/>
      <c r="E37" s="7"/>
      <c r="F37" s="7"/>
      <c r="H37" s="7"/>
      <c r="I37" s="7"/>
      <c r="J37" s="7"/>
      <c r="L37" s="7"/>
      <c r="M37" s="7"/>
      <c r="N37" s="7"/>
      <c r="O37" s="7"/>
      <c r="P37" s="7"/>
      <c r="Q37" s="7"/>
      <c r="R37" s="7"/>
      <c r="T37" s="7"/>
      <c r="U37" s="7"/>
      <c r="V37" s="7"/>
      <c r="W37" s="7"/>
      <c r="X37" s="7"/>
      <c r="Z37" s="7"/>
    </row>
    <row r="38" spans="1:26" ht="15">
      <c r="A38" s="41" t="str">
        <f>HLOOKUP(Chosen,Hide!$A$25:$C$48,23,FALSE)</f>
        <v>- podstawowy</v>
      </c>
      <c r="B38" s="10">
        <v>-1.7</v>
      </c>
      <c r="C38" s="10">
        <v>3.1</v>
      </c>
      <c r="D38" s="10">
        <v>1.2</v>
      </c>
      <c r="E38" s="10">
        <v>8.5</v>
      </c>
      <c r="F38" s="10">
        <v>11.1</v>
      </c>
      <c r="H38" s="10">
        <v>0.5</v>
      </c>
      <c r="I38" s="10">
        <v>2.2</v>
      </c>
      <c r="J38" s="10">
        <v>2.3437613202650107</v>
      </c>
      <c r="K38" s="10">
        <v>2.04</v>
      </c>
      <c r="L38" s="10">
        <v>7.08</v>
      </c>
      <c r="M38" s="10"/>
      <c r="N38" s="10">
        <v>1.14</v>
      </c>
      <c r="O38" s="10">
        <v>0.6750523774970233</v>
      </c>
      <c r="P38" s="10">
        <v>0.5119466846868711</v>
      </c>
      <c r="Q38" s="10">
        <v>1.6735429208792787</v>
      </c>
      <c r="R38" s="10">
        <v>3.9972819799408037</v>
      </c>
      <c r="T38" s="10">
        <v>1.2387239604051143</v>
      </c>
      <c r="U38" s="10">
        <v>0.3888576537557265</v>
      </c>
      <c r="V38" s="115">
        <v>0.02210206902591499</v>
      </c>
      <c r="W38" s="10">
        <v>-0.4632606065759848</v>
      </c>
      <c r="X38" s="10">
        <v>1.1864259814506968</v>
      </c>
      <c r="Z38" s="10">
        <v>-0.9051698440148176</v>
      </c>
    </row>
    <row r="39" spans="1:26" s="6" customFormat="1" ht="15">
      <c r="A39" s="41" t="str">
        <f>HLOOKUP(Chosen,Hide!$A$25:$C$61,24,FALSE)</f>
        <v>- rozwodniony</v>
      </c>
      <c r="B39" s="10">
        <v>-1.7</v>
      </c>
      <c r="C39" s="10">
        <v>2.9</v>
      </c>
      <c r="D39" s="10">
        <v>1.1</v>
      </c>
      <c r="E39" s="10">
        <v>8.5</v>
      </c>
      <c r="F39" s="10">
        <v>11.1</v>
      </c>
      <c r="H39" s="10">
        <v>0.5</v>
      </c>
      <c r="I39" s="10">
        <v>2.1</v>
      </c>
      <c r="J39" s="10">
        <v>2.3437613202650107</v>
      </c>
      <c r="K39" s="10">
        <v>2.04</v>
      </c>
      <c r="L39" s="10">
        <v>7.08</v>
      </c>
      <c r="M39" s="10"/>
      <c r="N39" s="10">
        <v>1.14</v>
      </c>
      <c r="O39" s="10">
        <v>0.6750523774970233</v>
      </c>
      <c r="P39" s="10">
        <v>0.5119466846868711</v>
      </c>
      <c r="Q39" s="10">
        <v>1.6735429208792787</v>
      </c>
      <c r="R39" s="10">
        <v>3.9972819799408037</v>
      </c>
      <c r="T39" s="10">
        <v>1.2387239604051143</v>
      </c>
      <c r="U39" s="10">
        <v>0.3888576537557265</v>
      </c>
      <c r="V39" s="115">
        <v>0.02210206902591499</v>
      </c>
      <c r="W39" s="10">
        <v>-0.4632606065759848</v>
      </c>
      <c r="X39" s="10">
        <v>1.1864259814506968</v>
      </c>
      <c r="Z39" s="10">
        <v>-0.9051698440148176</v>
      </c>
    </row>
    <row r="40" spans="2:10" ht="15">
      <c r="B40" s="7"/>
      <c r="C40" s="7"/>
      <c r="D40" s="7"/>
      <c r="E40" s="7"/>
      <c r="H40" s="7"/>
      <c r="I40" s="7"/>
      <c r="J40" s="7"/>
    </row>
    <row r="41" spans="2:26" ht="15">
      <c r="B41" s="7"/>
      <c r="C41" s="7"/>
      <c r="D41" s="7"/>
      <c r="E41" s="7"/>
      <c r="H41" s="7"/>
      <c r="I41" s="7"/>
      <c r="J41" s="7"/>
      <c r="W41" s="7"/>
      <c r="Z41" s="7"/>
    </row>
    <row r="42" spans="1:20" ht="15">
      <c r="A42" s="6"/>
      <c r="B42" s="7"/>
      <c r="C42" s="7"/>
      <c r="D42" s="7"/>
      <c r="E42" s="7"/>
      <c r="F42" s="5"/>
      <c r="G42" s="6"/>
      <c r="H42" s="5"/>
      <c r="I42" s="5"/>
      <c r="J42" s="5"/>
      <c r="K42" s="6"/>
      <c r="L42" s="5"/>
      <c r="M42" s="6"/>
      <c r="N42" s="5"/>
      <c r="O42" s="5"/>
      <c r="P42" s="5"/>
      <c r="Q42" s="5"/>
      <c r="R42" s="5"/>
      <c r="T42" s="5"/>
    </row>
    <row r="43" spans="2:10" ht="15">
      <c r="B43" s="7"/>
      <c r="C43" s="7"/>
      <c r="D43" s="7"/>
      <c r="E43" s="7"/>
      <c r="H43" s="7"/>
      <c r="I43" s="7"/>
      <c r="J43" s="7"/>
    </row>
    <row r="44" spans="2:10" ht="15">
      <c r="B44" s="7"/>
      <c r="C44" s="7"/>
      <c r="D44" s="7"/>
      <c r="E44" s="7"/>
      <c r="H44" s="7"/>
      <c r="I44" s="7"/>
      <c r="J44" s="7"/>
    </row>
    <row r="45" spans="2:10" ht="15">
      <c r="B45" s="7"/>
      <c r="C45" s="7"/>
      <c r="D45" s="7"/>
      <c r="E45" s="7"/>
      <c r="H45" s="7"/>
      <c r="I45" s="7"/>
      <c r="J45" s="7"/>
    </row>
    <row r="46" spans="2:10" ht="15">
      <c r="B46" s="7"/>
      <c r="C46" s="7"/>
      <c r="D46" s="7"/>
      <c r="E46" s="7"/>
      <c r="H46" s="7"/>
      <c r="I46" s="7"/>
      <c r="J46" s="7"/>
    </row>
    <row r="47" spans="2:10" ht="15">
      <c r="B47" s="7"/>
      <c r="C47" s="7"/>
      <c r="D47" s="7"/>
      <c r="E47" s="7"/>
      <c r="H47" s="7"/>
      <c r="I47" s="7"/>
      <c r="J47" s="7"/>
    </row>
    <row r="48" spans="2:10" ht="15">
      <c r="B48" s="7"/>
      <c r="C48" s="7"/>
      <c r="D48" s="7"/>
      <c r="E48" s="7"/>
      <c r="H48" s="7"/>
      <c r="I48" s="7"/>
      <c r="J48" s="7"/>
    </row>
    <row r="49" spans="2:10" ht="15">
      <c r="B49" s="7"/>
      <c r="C49" s="7"/>
      <c r="D49" s="7"/>
      <c r="E49" s="7"/>
      <c r="H49" s="7"/>
      <c r="I49" s="7"/>
      <c r="J49" s="7"/>
    </row>
    <row r="50" spans="2:10" ht="15">
      <c r="B50" s="7"/>
      <c r="C50" s="7"/>
      <c r="D50" s="7"/>
      <c r="E50" s="7"/>
      <c r="H50" s="7"/>
      <c r="I50" s="7"/>
      <c r="J50" s="7"/>
    </row>
    <row r="51" spans="2:10" ht="15">
      <c r="B51" s="7"/>
      <c r="C51" s="7"/>
      <c r="D51" s="7"/>
      <c r="E51" s="7"/>
      <c r="H51" s="7"/>
      <c r="I51" s="7"/>
      <c r="J51" s="7"/>
    </row>
    <row r="52" spans="2:10" ht="15">
      <c r="B52" s="7"/>
      <c r="C52" s="7"/>
      <c r="D52" s="7"/>
      <c r="E52" s="7"/>
      <c r="H52" s="7"/>
      <c r="I52" s="7"/>
      <c r="J52" s="7"/>
    </row>
    <row r="53" spans="2:10" ht="15">
      <c r="B53" s="7"/>
      <c r="C53" s="7"/>
      <c r="D53" s="7"/>
      <c r="E53" s="7"/>
      <c r="H53" s="7"/>
      <c r="I53" s="7"/>
      <c r="J53" s="7"/>
    </row>
    <row r="54" spans="2:10" ht="15">
      <c r="B54" s="7"/>
      <c r="C54" s="7"/>
      <c r="D54" s="7"/>
      <c r="E54" s="7"/>
      <c r="H54" s="7"/>
      <c r="I54" s="7"/>
      <c r="J54" s="7"/>
    </row>
    <row r="55" spans="2:10" ht="15">
      <c r="B55" s="7"/>
      <c r="C55" s="7"/>
      <c r="D55" s="7"/>
      <c r="E55" s="7"/>
      <c r="H55" s="7"/>
      <c r="I55" s="7"/>
      <c r="J55" s="7"/>
    </row>
    <row r="56" spans="2:10" ht="15">
      <c r="B56" s="7"/>
      <c r="C56" s="7"/>
      <c r="D56" s="7"/>
      <c r="E56" s="7"/>
      <c r="H56" s="7"/>
      <c r="I56" s="7"/>
      <c r="J56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BB146"/>
  <sheetViews>
    <sheetView showGridLines="0" workbookViewId="0" topLeftCell="A1">
      <pane xSplit="1" ySplit="2" topLeftCell="G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O31" sqref="O31"/>
    </sheetView>
  </sheetViews>
  <sheetFormatPr defaultColWidth="9.140625" defaultRowHeight="15"/>
  <cols>
    <col min="1" max="1" width="68.8515625" style="2" customWidth="1"/>
    <col min="2" max="10" width="11.421875" style="2" customWidth="1"/>
    <col min="11" max="15" width="9.140625" style="2" customWidth="1"/>
    <col min="16" max="16384" width="9.140625" style="2" customWidth="1"/>
  </cols>
  <sheetData>
    <row r="1" ht="15">
      <c r="A1" s="76" t="str">
        <f>HLOOKUP(Chosen,Hide!$A$9:$C$11,2,FALSE)</f>
        <v>SPIS TREŚCI</v>
      </c>
    </row>
    <row r="2" spans="1:15" s="32" customFormat="1" ht="15">
      <c r="A2" s="90" t="str">
        <f>HLOOKUP(Chosen,Hide!$A$64:$C$99,36,FALSE)</f>
        <v>tys. PLN</v>
      </c>
      <c r="B2" s="57">
        <v>2016</v>
      </c>
      <c r="C2" s="33" t="s">
        <v>15</v>
      </c>
      <c r="D2" s="33" t="s">
        <v>323</v>
      </c>
      <c r="E2" s="33" t="s">
        <v>324</v>
      </c>
      <c r="F2" s="57">
        <v>2017</v>
      </c>
      <c r="G2" s="33" t="s">
        <v>328</v>
      </c>
      <c r="H2" s="33" t="s">
        <v>342</v>
      </c>
      <c r="I2" s="33" t="s">
        <v>350</v>
      </c>
      <c r="J2" s="57">
        <v>2018</v>
      </c>
      <c r="K2" s="33" t="s">
        <v>361</v>
      </c>
      <c r="L2" s="33" t="s">
        <v>365</v>
      </c>
      <c r="M2" s="33" t="s">
        <v>366</v>
      </c>
      <c r="N2" s="57">
        <v>2019</v>
      </c>
      <c r="O2" s="33" t="s">
        <v>386</v>
      </c>
    </row>
    <row r="3" spans="1:54" ht="15">
      <c r="A3" s="49" t="str">
        <f>HLOOKUP(Chosen,Hide!$A$101:$C$153,2,FALSE)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6" customFormat="1" ht="15">
      <c r="A4" s="50" t="str">
        <f>HLOOKUP(Chosen,Hide!$A$101:$C$153,3,FALSE)</f>
        <v>Zysk/(strata) netto za okres sprawozdawczy</v>
      </c>
      <c r="B4" s="5">
        <v>42004</v>
      </c>
      <c r="C4" s="5">
        <v>1045</v>
      </c>
      <c r="D4" s="5">
        <v>13036</v>
      </c>
      <c r="E4" s="5">
        <v>24301.158643551134</v>
      </c>
      <c r="F4" s="5">
        <v>33653</v>
      </c>
      <c r="G4" s="5">
        <v>5288</v>
      </c>
      <c r="H4" s="5">
        <v>8455.54215796535</v>
      </c>
      <c r="I4" s="5">
        <v>10878</v>
      </c>
      <c r="J4" s="5">
        <v>18948.08821695277</v>
      </c>
      <c r="K4" s="5">
        <v>4907.25059987442</v>
      </c>
      <c r="L4" s="5">
        <v>5528.459999999999</v>
      </c>
      <c r="M4" s="5">
        <v>3903.993209533435</v>
      </c>
      <c r="N4" s="5">
        <v>-299.04574111337024</v>
      </c>
      <c r="O4" s="5">
        <v>-6934.61569752468</v>
      </c>
      <c r="P4" s="5"/>
      <c r="Q4" s="5"/>
      <c r="R4" s="5"/>
      <c r="S4" s="5"/>
      <c r="T4" s="5"/>
      <c r="U4" s="5"/>
      <c r="V4" s="5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15">
      <c r="A5" s="51" t="str">
        <f>HLOOKUP(Chosen,Hide!$A$101:$C$153,4,FALSE)</f>
        <v>Amortyzacja rzeczowych aktywów trwałych</v>
      </c>
      <c r="B5" s="7">
        <v>2932</v>
      </c>
      <c r="C5" s="7">
        <v>1463</v>
      </c>
      <c r="D5" s="7">
        <v>2888</v>
      </c>
      <c r="E5" s="7">
        <v>4254.84549240581</v>
      </c>
      <c r="F5" s="7">
        <v>5481</v>
      </c>
      <c r="G5" s="7">
        <v>1111</v>
      </c>
      <c r="H5" s="7">
        <v>2272.97862299067</v>
      </c>
      <c r="I5" s="7">
        <v>3506</v>
      </c>
      <c r="J5" s="7">
        <v>4969.213435412985</v>
      </c>
      <c r="K5" s="7">
        <v>2385.505107088771</v>
      </c>
      <c r="L5" s="7">
        <v>4818.5484507728</v>
      </c>
      <c r="M5" s="7">
        <v>8012.63297612154</v>
      </c>
      <c r="N5" s="7">
        <v>11060.96268955963</v>
      </c>
      <c r="O5" s="7">
        <v>2164.4930738602916</v>
      </c>
      <c r="P5" s="7"/>
      <c r="Q5" s="7"/>
      <c r="R5" s="7"/>
      <c r="S5" s="7"/>
      <c r="T5" s="7"/>
      <c r="U5" s="7"/>
      <c r="V5" s="7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5">
      <c r="A6" s="51" t="str">
        <f>HLOOKUP(Chosen,Hide!$A$101:$C$153,5,FALSE)</f>
        <v>Amortyzacja wartości niematerialnych</v>
      </c>
      <c r="B6" s="7">
        <v>1662</v>
      </c>
      <c r="C6" s="7">
        <v>1963</v>
      </c>
      <c r="D6" s="7">
        <v>3751</v>
      </c>
      <c r="E6" s="7">
        <v>5381.01938511255</v>
      </c>
      <c r="F6" s="7">
        <v>6989</v>
      </c>
      <c r="G6" s="7">
        <v>1539</v>
      </c>
      <c r="H6" s="7">
        <v>3215.8182903084903</v>
      </c>
      <c r="I6" s="7">
        <v>4891</v>
      </c>
      <c r="J6" s="7">
        <v>6609.599826268014</v>
      </c>
      <c r="K6" s="7">
        <v>1801.1597123740876</v>
      </c>
      <c r="L6" s="7">
        <v>3781.333685435025</v>
      </c>
      <c r="M6" s="7">
        <v>5736.4852146175635</v>
      </c>
      <c r="N6" s="7">
        <v>7655.974969852275</v>
      </c>
      <c r="O6" s="7">
        <v>1884.1333124995003</v>
      </c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5">
      <c r="A7" s="51" t="str">
        <f>HLOOKUP(Chosen,Hide!$A$101:$C$153,6,FALSE)</f>
        <v>Podatek dochodowy</v>
      </c>
      <c r="B7" s="7">
        <v>3912</v>
      </c>
      <c r="C7" s="7">
        <v>-1756</v>
      </c>
      <c r="D7" s="7">
        <v>-274</v>
      </c>
      <c r="E7" s="7">
        <v>1823.5801849777777</v>
      </c>
      <c r="F7" s="7">
        <v>-594</v>
      </c>
      <c r="G7" s="7">
        <v>710</v>
      </c>
      <c r="H7" s="7">
        <v>2200.0006271540087</v>
      </c>
      <c r="I7" s="7">
        <v>1999</v>
      </c>
      <c r="J7" s="7">
        <v>3625.0090853355377</v>
      </c>
      <c r="K7" s="7">
        <v>777.5620153121044</v>
      </c>
      <c r="L7" s="7">
        <v>367.41072376060026</v>
      </c>
      <c r="M7" s="7">
        <v>353.3742505627123</v>
      </c>
      <c r="N7" s="7">
        <v>-2076.317463291186</v>
      </c>
      <c r="O7" s="7">
        <v>-18.054680552588444</v>
      </c>
      <c r="P7" s="7"/>
      <c r="Q7" s="7"/>
      <c r="R7" s="7"/>
      <c r="S7" s="7"/>
      <c r="T7" s="7"/>
      <c r="U7" s="7"/>
      <c r="V7" s="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ht="15">
      <c r="A8" s="51" t="str">
        <f>HLOOKUP(Chosen,Hide!$A$101:$C$153,7,FALSE)</f>
        <v>Zmiana stanu zapasów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/>
      <c r="P8" s="7"/>
      <c r="Q8" s="7"/>
      <c r="R8" s="7"/>
      <c r="S8" s="7"/>
      <c r="T8" s="7"/>
      <c r="U8" s="7"/>
      <c r="V8" s="7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5">
      <c r="A9" s="51" t="str">
        <f>HLOOKUP(Chosen,Hide!$A$101:$C$153,8,FALSE)</f>
        <v>Zmiana stanu należności z tytułu dostaw i usług oraz pozostałych</v>
      </c>
      <c r="B9" s="7">
        <v>-16033</v>
      </c>
      <c r="C9" s="7">
        <v>-629</v>
      </c>
      <c r="D9" s="7">
        <v>-4721</v>
      </c>
      <c r="E9" s="7">
        <v>-4429.953482324999</v>
      </c>
      <c r="F9" s="7">
        <v>-5725</v>
      </c>
      <c r="G9" s="7">
        <v>-4079</v>
      </c>
      <c r="H9" s="7">
        <v>-2132.515481</v>
      </c>
      <c r="I9" s="7">
        <v>4660</v>
      </c>
      <c r="J9" s="7">
        <v>633.2</v>
      </c>
      <c r="K9" s="7">
        <v>-2463.152623973072</v>
      </c>
      <c r="L9" s="7">
        <v>572.54</v>
      </c>
      <c r="M9" s="7">
        <v>-1689.374</v>
      </c>
      <c r="N9" s="7">
        <v>-1663.5005176000002</v>
      </c>
      <c r="O9" s="7">
        <v>-2821.9626305805436</v>
      </c>
      <c r="P9" s="7"/>
      <c r="Q9" s="7"/>
      <c r="R9" s="7"/>
      <c r="S9" s="7"/>
      <c r="T9" s="7"/>
      <c r="U9" s="7"/>
      <c r="V9" s="7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15">
      <c r="A10" s="51" t="str">
        <f>HLOOKUP(Chosen,Hide!$A$101:$C$153,9,FALSE)</f>
        <v>Zmiana stanu rozliczeń międzyokresowych</v>
      </c>
      <c r="B10" s="7">
        <v>-1008</v>
      </c>
      <c r="C10" s="7">
        <v>1409</v>
      </c>
      <c r="D10" s="7">
        <v>133</v>
      </c>
      <c r="E10" s="7">
        <v>12.509999999999991</v>
      </c>
      <c r="F10" s="7">
        <v>483</v>
      </c>
      <c r="G10" s="7">
        <v>130</v>
      </c>
      <c r="H10" s="7">
        <v>-208.47</v>
      </c>
      <c r="I10" s="7">
        <v>257</v>
      </c>
      <c r="J10" s="7">
        <v>951.6785199999999</v>
      </c>
      <c r="K10" s="7">
        <v>-372.68389373599973</v>
      </c>
      <c r="L10" s="7">
        <v>346.9746126149993</v>
      </c>
      <c r="M10" s="7">
        <v>-252.40589416100028</v>
      </c>
      <c r="N10" s="7">
        <v>-64.07889531199874</v>
      </c>
      <c r="O10" s="7">
        <v>451.2290345129986</v>
      </c>
      <c r="P10" s="7"/>
      <c r="Q10" s="7"/>
      <c r="R10" s="7"/>
      <c r="S10" s="7"/>
      <c r="T10" s="7"/>
      <c r="U10" s="7"/>
      <c r="V10" s="7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ht="15">
      <c r="A11" s="51" t="str">
        <f>HLOOKUP(Chosen,Hide!$A$101:$C$153,10,FALSE)</f>
        <v>Zmiana stanu zobowiązań z tytułu dostaw i usług oraz pozostałych</v>
      </c>
      <c r="B11" s="7">
        <v>-1171</v>
      </c>
      <c r="C11" s="7">
        <v>-1442</v>
      </c>
      <c r="D11" s="7">
        <v>-12733</v>
      </c>
      <c r="E11" s="7">
        <v>-15672.635000000002</v>
      </c>
      <c r="F11" s="7">
        <v>-14265</v>
      </c>
      <c r="G11" s="7">
        <v>-750</v>
      </c>
      <c r="H11" s="7">
        <v>3402.33</v>
      </c>
      <c r="I11" s="7">
        <v>1622</v>
      </c>
      <c r="J11" s="7">
        <v>3087.79</v>
      </c>
      <c r="K11" s="7">
        <v>487.32450462723904</v>
      </c>
      <c r="L11" s="7">
        <v>-2197.085305214077</v>
      </c>
      <c r="M11" s="7">
        <v>-1140.9475771821703</v>
      </c>
      <c r="N11" s="7">
        <v>-1287.5086236774594</v>
      </c>
      <c r="O11" s="7">
        <v>3082.619458420877</v>
      </c>
      <c r="P11" s="7"/>
      <c r="Q11" s="7"/>
      <c r="R11" s="7"/>
      <c r="S11" s="7"/>
      <c r="T11" s="7"/>
      <c r="U11" s="7"/>
      <c r="V11" s="7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15">
      <c r="A12" s="51" t="str">
        <f>HLOOKUP(Chosen,Hide!$A$101:$C$153,11,FALSE)</f>
        <v>Zmiana stanu zobowiązań finansowych</v>
      </c>
      <c r="B12" s="7">
        <v>0</v>
      </c>
      <c r="C12" s="7">
        <v>-964</v>
      </c>
      <c r="D12" s="7">
        <v>100</v>
      </c>
      <c r="E12" s="7">
        <v>150.03000000000003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/>
      <c r="Q12" s="7"/>
      <c r="R12" s="7"/>
      <c r="S12" s="7"/>
      <c r="T12" s="7"/>
      <c r="U12" s="7"/>
      <c r="V12" s="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5">
      <c r="A13" s="51" t="str">
        <f>HLOOKUP(Chosen,Hide!$A$101:$C$153,12,FALSE)</f>
        <v>Zmiana stanu aktywów finansowych</v>
      </c>
      <c r="B13" s="7">
        <v>0</v>
      </c>
      <c r="C13" s="7">
        <v>-492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/>
      <c r="Q13" s="7"/>
      <c r="R13" s="7"/>
      <c r="S13" s="7"/>
      <c r="T13" s="7"/>
      <c r="U13" s="7"/>
      <c r="V13" s="7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5">
      <c r="A14" s="51" t="str">
        <f>HLOOKUP(Chosen,Hide!$A$101:$C$153,13,FALSE)</f>
        <v>Zmiana stanu rezerw</v>
      </c>
      <c r="B14" s="7">
        <v>392</v>
      </c>
      <c r="C14" s="7">
        <v>60</v>
      </c>
      <c r="D14" s="7">
        <v>88</v>
      </c>
      <c r="E14" s="7">
        <v>-12.34</v>
      </c>
      <c r="F14" s="7">
        <v>756</v>
      </c>
      <c r="G14" s="7">
        <v>-199</v>
      </c>
      <c r="H14" s="7">
        <v>238.5820597710001</v>
      </c>
      <c r="I14" s="7">
        <v>552</v>
      </c>
      <c r="J14" s="7">
        <v>537.478176863</v>
      </c>
      <c r="K14" s="7">
        <v>311.671389268</v>
      </c>
      <c r="L14" s="7">
        <v>445.41374906799956</v>
      </c>
      <c r="M14" s="7">
        <v>389.8244522680002</v>
      </c>
      <c r="N14" s="7">
        <v>233.41614101300001</v>
      </c>
      <c r="O14" s="7">
        <v>457.5576663229999</v>
      </c>
      <c r="P14" s="7"/>
      <c r="Q14" s="7"/>
      <c r="R14" s="7"/>
      <c r="S14" s="7"/>
      <c r="T14" s="7"/>
      <c r="U14" s="7"/>
      <c r="V14" s="7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15">
      <c r="A15" s="52" t="str">
        <f>HLOOKUP(Chosen,Hide!$A$101:$C$153,14,FALSE)</f>
        <v>Wycena programu motywacyjnego</v>
      </c>
      <c r="B15" s="7">
        <v>3170</v>
      </c>
      <c r="C15" s="7">
        <v>1005</v>
      </c>
      <c r="D15" s="7">
        <v>2009</v>
      </c>
      <c r="E15" s="7">
        <v>2009</v>
      </c>
      <c r="F15" s="7">
        <v>2142</v>
      </c>
      <c r="G15" s="7">
        <v>742</v>
      </c>
      <c r="H15" s="7">
        <v>1484.5</v>
      </c>
      <c r="I15" s="7">
        <v>2227</v>
      </c>
      <c r="J15" s="7">
        <v>0</v>
      </c>
      <c r="K15" s="7">
        <v>0</v>
      </c>
      <c r="L15" s="11">
        <v>0</v>
      </c>
      <c r="M15" s="11">
        <v>0</v>
      </c>
      <c r="N15" s="7">
        <v>0</v>
      </c>
      <c r="O15" s="7">
        <v>0</v>
      </c>
      <c r="P15" s="7"/>
      <c r="Q15" s="7"/>
      <c r="R15" s="7"/>
      <c r="S15" s="7"/>
      <c r="T15" s="7"/>
      <c r="U15" s="7"/>
      <c r="V15" s="7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ht="15">
      <c r="A16" s="52" t="str">
        <f>HLOOKUP(Chosen,Hide!$A$101:$C$153,15,FALSE)</f>
        <v>Zmiana stanu aktywów i pasywów w związku z nabyciem jednostek zależnych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/>
      <c r="Q16" s="7"/>
      <c r="R16" s="7"/>
      <c r="S16" s="7"/>
      <c r="T16" s="7"/>
      <c r="U16" s="7"/>
      <c r="V16" s="7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5">
      <c r="A17" s="116" t="s">
        <v>382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178.02223999999956</v>
      </c>
      <c r="N17" s="7">
        <v>0</v>
      </c>
      <c r="O17" s="7">
        <v>25.134118307999998</v>
      </c>
      <c r="P17" s="7"/>
      <c r="Q17" s="7"/>
      <c r="R17" s="7"/>
      <c r="S17" s="7"/>
      <c r="T17" s="7"/>
      <c r="U17" s="7"/>
      <c r="V17" s="7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15">
      <c r="A18" s="51" t="str">
        <f>HLOOKUP(Chosen,Hide!$A$101:$C$153,17,FALSE)</f>
        <v>(Zysk)/strata ze sprzedaży inwestycji</v>
      </c>
      <c r="B18" s="7">
        <v>-215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186.1605234640001</v>
      </c>
      <c r="O18" s="7">
        <v>0</v>
      </c>
      <c r="P18" s="7"/>
      <c r="Q18" s="7"/>
      <c r="R18" s="7"/>
      <c r="S18" s="7"/>
      <c r="T18" s="7"/>
      <c r="U18" s="7"/>
      <c r="V18" s="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ht="15">
      <c r="A19" s="52" t="str">
        <f>HLOOKUP(Chosen,Hide!$A$101:$C$153,20,FALSE)</f>
        <v>(Przychody)/Koszty finansowe netto</v>
      </c>
      <c r="B19" s="7">
        <v>0</v>
      </c>
      <c r="C19" s="7">
        <v>0</v>
      </c>
      <c r="D19" s="7">
        <v>-98</v>
      </c>
      <c r="E19" s="7">
        <v>-2.0891099999997778</v>
      </c>
      <c r="F19" s="7">
        <v>82</v>
      </c>
      <c r="G19" s="7">
        <v>-177</v>
      </c>
      <c r="H19" s="7">
        <v>82.44845999999892</v>
      </c>
      <c r="I19" s="7">
        <v>50</v>
      </c>
      <c r="J19" s="7">
        <v>332.6775699999994</v>
      </c>
      <c r="K19" s="7">
        <v>22.21</v>
      </c>
      <c r="L19" s="7">
        <v>178.90125000000006</v>
      </c>
      <c r="M19" s="7">
        <v>178.90125000000006</v>
      </c>
      <c r="N19" s="7">
        <v>178.90125000000006</v>
      </c>
      <c r="O19" s="7">
        <v>0</v>
      </c>
      <c r="P19" s="7"/>
      <c r="Q19" s="7"/>
      <c r="R19" s="7"/>
      <c r="S19" s="7"/>
      <c r="T19" s="7"/>
      <c r="U19" s="7"/>
      <c r="V19" s="7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ht="15">
      <c r="A20" s="51" t="str">
        <f>HLOOKUP(Chosen,Hide!$A$101:$C$153,21,FALSE)</f>
        <v>Podatek zapłacony</v>
      </c>
      <c r="B20" s="7">
        <v>-3272</v>
      </c>
      <c r="C20" s="7">
        <v>-2234</v>
      </c>
      <c r="D20" s="7">
        <v>-2447</v>
      </c>
      <c r="E20" s="7">
        <v>-3261.6900000000005</v>
      </c>
      <c r="F20" s="7">
        <v>-3608</v>
      </c>
      <c r="G20" s="7">
        <v>-545</v>
      </c>
      <c r="H20" s="7">
        <v>-780.4497441666668</v>
      </c>
      <c r="I20" s="7">
        <v>-1323</v>
      </c>
      <c r="J20" s="7">
        <v>-1338.1111358</v>
      </c>
      <c r="K20" s="7">
        <v>-581.669</v>
      </c>
      <c r="L20" s="7">
        <v>-1008.0971999999999</v>
      </c>
      <c r="M20" s="7">
        <v>-1544.44</v>
      </c>
      <c r="N20" s="7">
        <v>-2466.986135</v>
      </c>
      <c r="O20" s="7">
        <v>-390.616</v>
      </c>
      <c r="P20" s="7"/>
      <c r="Q20" s="7"/>
      <c r="R20" s="7"/>
      <c r="S20" s="7"/>
      <c r="T20" s="7"/>
      <c r="U20" s="7"/>
      <c r="V20" s="7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15">
      <c r="A21" s="51" t="str">
        <f>HLOOKUP(Chosen,Hide!$A$101:$C$153,19,FALSE)</f>
        <v>Różnice kursowe</v>
      </c>
      <c r="B21" s="7">
        <v>0</v>
      </c>
      <c r="C21" s="7">
        <v>3444</v>
      </c>
      <c r="D21" s="7">
        <v>-170</v>
      </c>
      <c r="E21" s="7">
        <v>-476.7326093989939</v>
      </c>
      <c r="F21" s="7">
        <v>-863</v>
      </c>
      <c r="G21" s="7">
        <v>-464</v>
      </c>
      <c r="H21" s="7">
        <v>1748.3676910075055</v>
      </c>
      <c r="I21" s="7">
        <v>1022</v>
      </c>
      <c r="J21" s="7">
        <v>2219.764502137249</v>
      </c>
      <c r="K21" s="7">
        <v>876.5507529999993</v>
      </c>
      <c r="L21" s="7">
        <v>-364.871789514066</v>
      </c>
      <c r="M21" s="7">
        <v>628.7793043000001</v>
      </c>
      <c r="N21" s="7">
        <v>20.55154519999965</v>
      </c>
      <c r="O21" s="7">
        <v>-356.6201317090902</v>
      </c>
      <c r="P21" s="7"/>
      <c r="Q21" s="7"/>
      <c r="R21" s="7"/>
      <c r="S21" s="7"/>
      <c r="T21" s="7"/>
      <c r="U21" s="7"/>
      <c r="V21" s="7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15">
      <c r="A22" s="51" t="str">
        <f>HLOOKUP(Chosen,Hide!$A$101:$C$154,54,FALSE)</f>
        <v>Odsetki</v>
      </c>
      <c r="B22" s="7">
        <v>3287</v>
      </c>
      <c r="C22" s="7">
        <v>0</v>
      </c>
      <c r="D22" s="7">
        <v>1926</v>
      </c>
      <c r="E22" s="7">
        <v>2834.4403423999997</v>
      </c>
      <c r="F22" s="7">
        <v>3940</v>
      </c>
      <c r="G22" s="7">
        <v>922</v>
      </c>
      <c r="H22" s="7">
        <v>1801.8657247550004</v>
      </c>
      <c r="I22" s="7">
        <v>2690</v>
      </c>
      <c r="J22" s="7">
        <v>3581.8128042</v>
      </c>
      <c r="K22" s="7">
        <v>983.6008783325603</v>
      </c>
      <c r="L22" s="7">
        <v>1431.6549435445631</v>
      </c>
      <c r="M22" s="7">
        <v>1655.4993844</v>
      </c>
      <c r="N22" s="7">
        <v>2056.647326</v>
      </c>
      <c r="O22" s="7">
        <v>284.52062032534093</v>
      </c>
      <c r="P22" s="7"/>
      <c r="Q22" s="7"/>
      <c r="R22" s="7"/>
      <c r="S22" s="7"/>
      <c r="T22" s="7"/>
      <c r="U22" s="7"/>
      <c r="V22" s="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ht="15">
      <c r="A23" s="51" t="str">
        <f>HLOOKUP(Chosen,Hide!$A$101:$C$153,23,FALSE)</f>
        <v xml:space="preserve">Pozostałe </v>
      </c>
      <c r="B23" s="7">
        <v>-183</v>
      </c>
      <c r="C23" s="7">
        <v>240</v>
      </c>
      <c r="D23" s="7">
        <v>-209</v>
      </c>
      <c r="E23" s="7">
        <v>36.72</v>
      </c>
      <c r="F23" s="7">
        <v>140</v>
      </c>
      <c r="G23" s="7">
        <v>-3</v>
      </c>
      <c r="H23" s="7">
        <v>57</v>
      </c>
      <c r="I23" s="7">
        <v>79</v>
      </c>
      <c r="J23" s="7">
        <v>73.47520553009839</v>
      </c>
      <c r="K23" s="7">
        <v>-65.47929092451797</v>
      </c>
      <c r="L23" s="7">
        <v>14.91560907548207</v>
      </c>
      <c r="M23" s="7">
        <v>-2.035120924517983</v>
      </c>
      <c r="N23" s="7">
        <v>-36.333490924518</v>
      </c>
      <c r="O23" s="7">
        <v>63.51279000000001</v>
      </c>
      <c r="P23" s="7"/>
      <c r="Q23" s="7"/>
      <c r="R23" s="7"/>
      <c r="S23" s="7"/>
      <c r="T23" s="7"/>
      <c r="U23" s="7"/>
      <c r="V23" s="7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6" customFormat="1" ht="15">
      <c r="A24" s="50"/>
      <c r="B24" s="8">
        <v>35477</v>
      </c>
      <c r="C24" s="8">
        <v>3112</v>
      </c>
      <c r="D24" s="8">
        <v>3279</v>
      </c>
      <c r="E24" s="8">
        <v>16947.863846723274</v>
      </c>
      <c r="F24" s="8">
        <v>28611</v>
      </c>
      <c r="G24" s="8">
        <v>4225</v>
      </c>
      <c r="H24" s="8">
        <v>21838.508408785357</v>
      </c>
      <c r="I24" s="8">
        <v>33110</v>
      </c>
      <c r="J24" s="8">
        <v>44231.67620689966</v>
      </c>
      <c r="K24" s="8">
        <v>9070.50015124359</v>
      </c>
      <c r="L24" s="8">
        <v>13916.098729543326</v>
      </c>
      <c r="M24" s="8">
        <v>16408.509689535564</v>
      </c>
      <c r="N24" s="8">
        <v>13498.84357817037</v>
      </c>
      <c r="O24" s="8">
        <v>-2108.6690661168936</v>
      </c>
      <c r="P24" s="5"/>
      <c r="Q24" s="5"/>
      <c r="R24" s="5"/>
      <c r="S24" s="5"/>
      <c r="T24" s="5"/>
      <c r="U24" s="5"/>
      <c r="V24" s="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15">
      <c r="A25" s="50" t="str">
        <f>HLOOKUP(Chosen,Hide!$A$101:$C$153,25,FALSE)</f>
        <v>Przepływy pieniężne z działalności inwestycyjnej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ht="15">
      <c r="A26" s="51" t="str">
        <f>HLOOKUP(Chosen,Hide!$A$101:$C$153,26,FALSE)</f>
        <v>Wpływy ze sprzedaży inwestycji</v>
      </c>
      <c r="B26" s="7">
        <v>19520</v>
      </c>
      <c r="C26" s="7">
        <v>0</v>
      </c>
      <c r="D26" s="7">
        <v>11797</v>
      </c>
      <c r="E26" s="7">
        <v>11796.6375</v>
      </c>
      <c r="F26" s="7">
        <v>15885</v>
      </c>
      <c r="G26" s="7">
        <v>0</v>
      </c>
      <c r="H26" s="7">
        <v>0</v>
      </c>
      <c r="I26" s="7">
        <v>0</v>
      </c>
      <c r="J26" s="7">
        <v>8660.8803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/>
      <c r="Q26" s="7"/>
      <c r="R26" s="7"/>
      <c r="S26" s="7"/>
      <c r="T26" s="7"/>
      <c r="U26" s="7"/>
      <c r="V26" s="7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ht="15">
      <c r="A27" s="51" t="str">
        <f>HLOOKUP(Chosen,Hide!$A$101:$C$153,28,FALSE)</f>
        <v>Nabycie jednostek zależnych</v>
      </c>
      <c r="B27" s="7">
        <v>-97143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-167.13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/>
      <c r="Q27" s="7"/>
      <c r="R27" s="7"/>
      <c r="S27" s="7"/>
      <c r="T27" s="7"/>
      <c r="U27" s="7"/>
      <c r="V27" s="7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ht="15">
      <c r="A28" s="51" t="str">
        <f>HLOOKUP(Chosen,Hide!$A$101:$C$153,29,FALSE)</f>
        <v>Udzielone pożyczki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/>
      <c r="Q28" s="7"/>
      <c r="R28" s="7"/>
      <c r="S28" s="7"/>
      <c r="T28" s="7"/>
      <c r="U28" s="7"/>
      <c r="V28" s="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ht="15">
      <c r="A29" s="52" t="str">
        <f>HLOOKUP(Chosen,Hide!$A$101:$C$153,30,FALSE)</f>
        <v>Środki pieniężne przejęte w wyniku nabycia udziałów w  Medi-Lynx</v>
      </c>
      <c r="B29" s="7">
        <v>5409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/>
      <c r="Q29" s="7"/>
      <c r="R29" s="7"/>
      <c r="S29" s="7"/>
      <c r="T29" s="7"/>
      <c r="U29" s="7"/>
      <c r="V29" s="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5">
      <c r="A30" s="60" t="str">
        <f>HLOOKUP(Chosen,Hide!$A$101:$C$153,31,FALSE)</f>
        <v>(Nabycie)/sprzedaż wartości niematerialnych</v>
      </c>
      <c r="B30" s="7">
        <v>-3108</v>
      </c>
      <c r="C30" s="7">
        <v>-37004</v>
      </c>
      <c r="D30" s="7">
        <v>-33725</v>
      </c>
      <c r="E30" s="7">
        <v>-34745.4292675</v>
      </c>
      <c r="F30" s="7">
        <v>-35652</v>
      </c>
      <c r="G30" s="7">
        <v>-1217</v>
      </c>
      <c r="H30" s="7">
        <v>-2285.29623</v>
      </c>
      <c r="I30" s="7">
        <v>-3399</v>
      </c>
      <c r="J30" s="7">
        <v>-5050.28483</v>
      </c>
      <c r="K30" s="7">
        <v>-1496.9703099999992</v>
      </c>
      <c r="L30" s="7">
        <v>-2764.4237041679994</v>
      </c>
      <c r="M30" s="7">
        <v>-3758.4060999999997</v>
      </c>
      <c r="N30" s="7">
        <v>-4923.333789296003</v>
      </c>
      <c r="O30" s="7">
        <v>-1042.9192300000002</v>
      </c>
      <c r="P30" s="7"/>
      <c r="Q30" s="7"/>
      <c r="R30" s="7"/>
      <c r="S30" s="7"/>
      <c r="T30" s="7"/>
      <c r="U30" s="7"/>
      <c r="V30" s="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5">
      <c r="A31" s="51" t="str">
        <f>HLOOKUP(Chosen,Hide!$A$101:$C$153,32,FALSE)</f>
        <v>(Nabycie)/sprzedaż pozostałych inwestycji</v>
      </c>
      <c r="B31" s="7">
        <v>0</v>
      </c>
      <c r="C31" s="7">
        <v>0</v>
      </c>
      <c r="D31" s="7">
        <v>-40</v>
      </c>
      <c r="E31" s="7">
        <v>-40</v>
      </c>
      <c r="F31" s="7">
        <v>-80</v>
      </c>
      <c r="G31" s="7">
        <v>0</v>
      </c>
      <c r="H31" s="7">
        <v>4148.0595</v>
      </c>
      <c r="I31" s="7">
        <v>-1253.9347835943245</v>
      </c>
      <c r="J31" s="7">
        <v>345.88147999999995</v>
      </c>
      <c r="K31" s="7">
        <v>-3509.942024558813</v>
      </c>
      <c r="L31" s="7">
        <v>5992.3850396825455</v>
      </c>
      <c r="M31" s="7">
        <v>5992.3850396825455</v>
      </c>
      <c r="N31" s="7">
        <f>127.086289682546+5825.29875</f>
        <v>5952.3850396825455</v>
      </c>
      <c r="O31" s="118">
        <v>0</v>
      </c>
      <c r="P31" s="7"/>
      <c r="Q31" s="7"/>
      <c r="R31" s="7"/>
      <c r="S31" s="7"/>
      <c r="T31" s="7"/>
      <c r="U31" s="7"/>
      <c r="V31" s="7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5">
      <c r="A32" s="51" t="str">
        <f>HLOOKUP(Chosen,Hide!$A$101:$C$153,34,FALSE)</f>
        <v>(Nabycie)/sprzedaż rzeczowych aktywów trwałych</v>
      </c>
      <c r="B32" s="7">
        <v>-5380</v>
      </c>
      <c r="C32" s="7">
        <v>-2906</v>
      </c>
      <c r="D32" s="7">
        <v>-2710</v>
      </c>
      <c r="E32" s="7">
        <v>-2383.528993096367</v>
      </c>
      <c r="F32" s="7">
        <v>-2179</v>
      </c>
      <c r="G32" s="7">
        <v>183</v>
      </c>
      <c r="H32" s="7">
        <v>-331.5992747180476</v>
      </c>
      <c r="I32" s="7">
        <v>4149.66881</v>
      </c>
      <c r="J32" s="7">
        <v>-1382.689623946153</v>
      </c>
      <c r="K32" s="7">
        <v>207.08628968254598</v>
      </c>
      <c r="L32" s="7">
        <v>-4299.875237970788</v>
      </c>
      <c r="M32" s="7">
        <v>-4192.485648785753</v>
      </c>
      <c r="N32" s="7">
        <v>-3822.0839092898923</v>
      </c>
      <c r="O32" s="7">
        <v>881.8758194286697</v>
      </c>
      <c r="P32" s="7"/>
      <c r="Q32" s="7"/>
      <c r="R32" s="7"/>
      <c r="S32" s="7"/>
      <c r="T32" s="7"/>
      <c r="U32" s="7"/>
      <c r="V32" s="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15">
      <c r="A33" s="51" t="str">
        <f>HLOOKUP(Chosen,Hide!$A$101:$C$153,35,FALSE)</f>
        <v>Wpływy z tytułu sprzedaży rzeczowych aktywów trwałych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/>
      <c r="Q33" s="7"/>
      <c r="R33" s="7"/>
      <c r="S33" s="7"/>
      <c r="T33" s="7"/>
      <c r="U33" s="7"/>
      <c r="V33" s="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5">
      <c r="A34" s="51" t="str">
        <f>HLOOKUP(Chosen,Hide!$A$101:$C$153,36,FALSE)</f>
        <v>Inne wydatki (koszty przejęcia spółki zależnej)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/>
      <c r="Q34" s="7"/>
      <c r="R34" s="7"/>
      <c r="S34" s="7"/>
      <c r="T34" s="7"/>
      <c r="U34" s="7"/>
      <c r="V34" s="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6" customFormat="1" ht="15">
      <c r="A35" s="50"/>
      <c r="B35" s="8">
        <v>-80702</v>
      </c>
      <c r="C35" s="8">
        <v>-39910</v>
      </c>
      <c r="D35" s="8">
        <v>-24678</v>
      </c>
      <c r="E35" s="8">
        <v>-25372.32076059637</v>
      </c>
      <c r="F35" s="8">
        <v>-22026</v>
      </c>
      <c r="G35" s="8">
        <v>-1034</v>
      </c>
      <c r="H35" s="8">
        <v>1531.1639952819528</v>
      </c>
      <c r="I35" s="8">
        <v>-502.51779359432385</v>
      </c>
      <c r="J35" s="8">
        <v>2406.657326053849</v>
      </c>
      <c r="K35" s="8">
        <v>-4799.826044876267</v>
      </c>
      <c r="L35" s="8">
        <v>-1071.913902456241</v>
      </c>
      <c r="M35" s="8">
        <v>-1958.456709103207</v>
      </c>
      <c r="N35" s="8">
        <v>-2793.032658903349</v>
      </c>
      <c r="O35" s="8">
        <v>-161.04341057133047</v>
      </c>
      <c r="P35" s="5"/>
      <c r="Q35" s="5"/>
      <c r="R35" s="5"/>
      <c r="S35" s="5"/>
      <c r="T35" s="5"/>
      <c r="U35" s="5"/>
      <c r="V35" s="5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ht="15">
      <c r="A36" s="50" t="str">
        <f>HLOOKUP(Chosen,Hide!$A$101:$C$153,38,FALSE)</f>
        <v>Przepływy pieniężne z działalności finansowej</v>
      </c>
      <c r="B36" s="7"/>
      <c r="P36" s="7"/>
      <c r="Q36" s="7"/>
      <c r="R36" s="7"/>
      <c r="S36" s="7"/>
      <c r="T36" s="7"/>
      <c r="U36" s="7"/>
      <c r="V36" s="7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ht="15">
      <c r="A37" s="51" t="str">
        <f>HLOOKUP(Chosen,Hide!$A$101:$C$153,39,FALSE)</f>
        <v>Wpływy z tytułu zaciągniętych kredytów</v>
      </c>
      <c r="B37" s="7">
        <v>0</v>
      </c>
      <c r="C37" s="7">
        <v>1234</v>
      </c>
      <c r="D37" s="7">
        <v>2513</v>
      </c>
      <c r="E37" s="7">
        <v>522.53</v>
      </c>
      <c r="F37" s="7">
        <v>804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113">
        <v>19000</v>
      </c>
      <c r="M37" s="113">
        <v>19000</v>
      </c>
      <c r="N37" s="7">
        <v>19000</v>
      </c>
      <c r="O37" s="7">
        <v>0</v>
      </c>
      <c r="P37" s="7"/>
      <c r="Q37" s="7"/>
      <c r="R37" s="7"/>
      <c r="S37" s="7"/>
      <c r="T37" s="7"/>
      <c r="U37" s="7"/>
      <c r="V37" s="7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ht="15">
      <c r="A38" s="51" t="str">
        <f>HLOOKUP(Chosen,Hide!$A$101:$C$153,40,FALSE)</f>
        <v>Wpływy z emisji instrumentów dłużnych</v>
      </c>
      <c r="B38" s="7">
        <v>50000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/>
      <c r="Q38" s="7"/>
      <c r="R38" s="7"/>
      <c r="S38" s="7"/>
      <c r="T38" s="7"/>
      <c r="U38" s="7"/>
      <c r="V38" s="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ht="15">
      <c r="A39" s="52" t="str">
        <f>HLOOKUP(Chosen,Hide!$A$101:$C$153,41,FALSE)</f>
        <v>Wpływy z tytułu wydania akcji</v>
      </c>
      <c r="B39" s="7">
        <v>32186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/>
      <c r="Q39" s="7"/>
      <c r="R39" s="7"/>
      <c r="S39" s="7"/>
      <c r="T39" s="7"/>
      <c r="U39" s="7"/>
      <c r="V39" s="7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ht="15">
      <c r="A40" s="52" t="s">
        <v>375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-1709.467</v>
      </c>
      <c r="M40" s="7">
        <v>-4162.7743</v>
      </c>
      <c r="N40" s="7">
        <v>-6661.4680499999995</v>
      </c>
      <c r="O40" s="7">
        <v>-1306.8076499999997</v>
      </c>
      <c r="P40" s="7"/>
      <c r="Q40" s="7"/>
      <c r="R40" s="7"/>
      <c r="S40" s="7"/>
      <c r="T40" s="7"/>
      <c r="U40" s="7"/>
      <c r="V40" s="7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ht="15">
      <c r="A41" s="51" t="str">
        <f>HLOOKUP(Chosen,Hide!$A$101:$C$153,42,FALSE)</f>
        <v>Spłata zadłużenia na kartach kredytowych i z tytułu pożyczek</v>
      </c>
      <c r="B41" s="7">
        <v>-1148</v>
      </c>
      <c r="C41" s="7">
        <v>0</v>
      </c>
      <c r="D41" s="7">
        <v>0</v>
      </c>
      <c r="E41" s="7">
        <v>0</v>
      </c>
      <c r="F41" s="7">
        <v>0</v>
      </c>
      <c r="G41" s="7">
        <v>-865</v>
      </c>
      <c r="H41" s="7">
        <v>-844.5319109850002</v>
      </c>
      <c r="I41" s="7">
        <v>-1625.192251176471</v>
      </c>
      <c r="J41" s="7">
        <v>-1633.0446349999997</v>
      </c>
      <c r="K41" s="7">
        <v>-13.211630000000028</v>
      </c>
      <c r="L41" s="7">
        <v>0</v>
      </c>
      <c r="M41" s="7">
        <v>0</v>
      </c>
      <c r="N41" s="7">
        <v>0</v>
      </c>
      <c r="O41" s="7">
        <v>0</v>
      </c>
      <c r="P41" s="7"/>
      <c r="Q41" s="7"/>
      <c r="R41" s="7"/>
      <c r="S41" s="7"/>
      <c r="T41" s="7"/>
      <c r="U41" s="7"/>
      <c r="V41" s="7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ht="15">
      <c r="A42" s="51" t="str">
        <f>HLOOKUP(Chosen,Hide!$A$101:$C$153,43,FALSE)</f>
        <v>Nabycie udziałów niekontrolujących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/>
      <c r="Q42" s="7"/>
      <c r="R42" s="7"/>
      <c r="S42" s="7"/>
      <c r="T42" s="7"/>
      <c r="U42" s="7"/>
      <c r="V42" s="7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15">
      <c r="A43" s="51" t="str">
        <f>HLOOKUP(Chosen,Hide!$A$101:$C$153,44,FALSE)</f>
        <v>Wypłata dywidendy</v>
      </c>
      <c r="B43" s="7">
        <v>-6392</v>
      </c>
      <c r="C43" s="7">
        <v>0</v>
      </c>
      <c r="D43" s="7">
        <v>0</v>
      </c>
      <c r="E43" s="7">
        <v>0</v>
      </c>
      <c r="F43" s="7">
        <v>-11565</v>
      </c>
      <c r="G43" s="7">
        <v>0</v>
      </c>
      <c r="H43" s="7">
        <v>0</v>
      </c>
      <c r="I43" s="7">
        <v>-5121</v>
      </c>
      <c r="J43" s="7">
        <v>-5121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/>
      <c r="Q43" s="7"/>
      <c r="R43" s="7"/>
      <c r="S43" s="7"/>
      <c r="T43" s="7"/>
      <c r="U43" s="7"/>
      <c r="V43" s="7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ht="15">
      <c r="A44" s="51" t="str">
        <f>HLOOKUP(Chosen,Hide!$A$101:$C$153,45,FALSE)</f>
        <v>Odsetki zapłacone od obligacji</v>
      </c>
      <c r="B44" s="7">
        <v>-1363</v>
      </c>
      <c r="C44" s="7">
        <v>0</v>
      </c>
      <c r="D44" s="7">
        <v>-1371</v>
      </c>
      <c r="E44" s="7">
        <v>-1371</v>
      </c>
      <c r="F44" s="7">
        <v>-2753</v>
      </c>
      <c r="G44" s="7">
        <v>0</v>
      </c>
      <c r="H44" s="7">
        <v>-1373.5</v>
      </c>
      <c r="I44" s="7">
        <v>-1373.5</v>
      </c>
      <c r="J44" s="7">
        <v>-2747.5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/>
      <c r="Q44" s="7"/>
      <c r="R44" s="7"/>
      <c r="S44" s="7"/>
      <c r="T44" s="7"/>
      <c r="U44" s="7"/>
      <c r="V44" s="7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ht="15">
      <c r="A45" s="51" t="str">
        <f>HLOOKUP(Chosen,Hide!$A$101:$C$153,46,FALSE)</f>
        <v>Dyskonto obligacji</v>
      </c>
      <c r="B45" s="7">
        <v>-480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/>
      <c r="Q45" s="7"/>
      <c r="R45" s="7"/>
      <c r="S45" s="7"/>
      <c r="T45" s="7"/>
      <c r="U45" s="7"/>
      <c r="V45" s="7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5">
      <c r="A46" s="51" t="str">
        <f>HLOOKUP(Chosen,Hide!$A$101:$C$153,47,FALSE)</f>
        <v>Spłata zobowiązań finansowych</v>
      </c>
      <c r="B46" s="7">
        <v>0</v>
      </c>
      <c r="C46" s="7">
        <v>0</v>
      </c>
      <c r="D46" s="7">
        <v>-8080</v>
      </c>
      <c r="E46" s="7">
        <v>-8079.78322017</v>
      </c>
      <c r="F46" s="7">
        <v>-8080</v>
      </c>
      <c r="G46" s="7">
        <v>-7547</v>
      </c>
      <c r="H46" s="7">
        <v>-7838.376795987507</v>
      </c>
      <c r="I46" s="7">
        <v>-7838.376795987507</v>
      </c>
      <c r="J46" s="7">
        <v>-8068.921657256249</v>
      </c>
      <c r="K46" s="7">
        <v>0</v>
      </c>
      <c r="L46" s="7">
        <v>-8081.803800000001</v>
      </c>
      <c r="M46" s="7">
        <v>-8081.803800000001</v>
      </c>
      <c r="N46" s="7">
        <v>-8113.1238</v>
      </c>
      <c r="O46" s="7">
        <v>0</v>
      </c>
      <c r="P46" s="7"/>
      <c r="Q46" s="7"/>
      <c r="R46" s="7"/>
      <c r="S46" s="7"/>
      <c r="T46" s="7"/>
      <c r="U46" s="7"/>
      <c r="V46" s="7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ht="15">
      <c r="A47" s="51" t="str">
        <f>HLOOKUP(Chosen,Hide!$A$101:$C$153,48,FALSE)</f>
        <v>Wypłata z zysku Medi-Lynx do udziałowca mniejszościowego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-1281</v>
      </c>
      <c r="H47" s="7">
        <v>-1404</v>
      </c>
      <c r="I47" s="7">
        <v>-1378.275</v>
      </c>
      <c r="J47" s="7">
        <v>-1409.8875</v>
      </c>
      <c r="K47" s="7">
        <v>0</v>
      </c>
      <c r="L47" s="7">
        <v>-7782</v>
      </c>
      <c r="M47" s="7">
        <v>-7782</v>
      </c>
      <c r="N47" s="7">
        <v>-7782</v>
      </c>
      <c r="O47" s="7">
        <v>0</v>
      </c>
      <c r="P47" s="7"/>
      <c r="Q47" s="7"/>
      <c r="R47" s="7"/>
      <c r="S47" s="7"/>
      <c r="T47" s="7"/>
      <c r="U47" s="7"/>
      <c r="V47" s="7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ht="15">
      <c r="A48" s="51" t="s">
        <v>367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-1248.9617313325602</v>
      </c>
      <c r="L48" s="7">
        <v>-2505.4698507670755</v>
      </c>
      <c r="M48" s="7">
        <v>-4038.2354274449563</v>
      </c>
      <c r="N48" s="7">
        <v>-5290.187252711632</v>
      </c>
      <c r="O48" s="7">
        <v>-1351.240544947378</v>
      </c>
      <c r="P48" s="7"/>
      <c r="Q48" s="7"/>
      <c r="R48" s="7"/>
      <c r="S48" s="7"/>
      <c r="T48" s="7"/>
      <c r="U48" s="7"/>
      <c r="V48" s="7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ht="15">
      <c r="A49" s="51" t="s">
        <v>374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-51368.5</v>
      </c>
      <c r="M49" s="7">
        <v>-51368.5</v>
      </c>
      <c r="N49" s="7">
        <v>-51368.5</v>
      </c>
      <c r="O49" s="7">
        <v>0</v>
      </c>
      <c r="P49" s="7"/>
      <c r="Q49" s="7"/>
      <c r="R49" s="7"/>
      <c r="S49" s="7"/>
      <c r="T49" s="7"/>
      <c r="U49" s="7"/>
      <c r="V49" s="7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ht="15">
      <c r="A50" s="51" t="s">
        <v>92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154.64757</v>
      </c>
      <c r="L50" s="7">
        <v>300.87593000000004</v>
      </c>
      <c r="M50" s="7">
        <v>470.50059000000005</v>
      </c>
      <c r="N50" s="7">
        <v>470.45059000000003</v>
      </c>
      <c r="O50" s="7">
        <v>49.281166470000244</v>
      </c>
      <c r="P50" s="7"/>
      <c r="Q50" s="7"/>
      <c r="R50" s="7"/>
      <c r="S50" s="7"/>
      <c r="T50" s="7"/>
      <c r="U50" s="7"/>
      <c r="V50" s="7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6" customFormat="1" ht="15">
      <c r="A51" s="50"/>
      <c r="B51" s="8">
        <v>72803</v>
      </c>
      <c r="C51" s="13">
        <v>1234</v>
      </c>
      <c r="D51" s="13">
        <v>-6938</v>
      </c>
      <c r="E51" s="13">
        <v>-8928.25322017</v>
      </c>
      <c r="F51" s="13">
        <v>-21594</v>
      </c>
      <c r="G51" s="13">
        <v>-9693</v>
      </c>
      <c r="H51" s="13">
        <v>-11460.508706972507</v>
      </c>
      <c r="I51" s="13">
        <v>-17336.444047163975</v>
      </c>
      <c r="J51" s="13">
        <v>-18981.153792256246</v>
      </c>
      <c r="K51" s="13">
        <v>-1107.4857913325602</v>
      </c>
      <c r="L51" s="13">
        <v>-52146.36472076707</v>
      </c>
      <c r="M51" s="13">
        <v>-55962.912937444955</v>
      </c>
      <c r="N51" s="13">
        <v>-59744.82851271163</v>
      </c>
      <c r="O51" s="13">
        <v>-2608.7670284773776</v>
      </c>
      <c r="P51" s="5"/>
      <c r="Q51" s="5"/>
      <c r="R51" s="5"/>
      <c r="S51" s="5"/>
      <c r="T51" s="5"/>
      <c r="U51" s="5"/>
      <c r="V51" s="5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</row>
    <row r="52" spans="1:54" s="6" customFormat="1" ht="15">
      <c r="A52" s="50" t="str">
        <f>HLOOKUP(Chosen,Hide!$A$101:$C$153,50,FALSE)</f>
        <v>Przepływy pieniężne netto ogółem</v>
      </c>
      <c r="B52" s="8">
        <v>27578</v>
      </c>
      <c r="C52" s="8">
        <v>-35564</v>
      </c>
      <c r="D52" s="8">
        <v>-28337</v>
      </c>
      <c r="E52" s="8">
        <v>-17352.490134043095</v>
      </c>
      <c r="F52" s="8">
        <v>-15009</v>
      </c>
      <c r="G52" s="8">
        <v>-6502</v>
      </c>
      <c r="H52" s="8">
        <v>11909.163697094804</v>
      </c>
      <c r="I52" s="8">
        <v>15271.0381592417</v>
      </c>
      <c r="J52" s="8">
        <v>27657.579740697267</v>
      </c>
      <c r="K52" s="8">
        <v>3163.508315034763</v>
      </c>
      <c r="L52" s="8">
        <v>-39302.17989367999</v>
      </c>
      <c r="M52" s="8">
        <v>-41512.319957012594</v>
      </c>
      <c r="N52" s="8">
        <v>-49039.017593444616</v>
      </c>
      <c r="O52" s="8">
        <v>-4878.579505165602</v>
      </c>
      <c r="P52" s="5"/>
      <c r="Q52" s="5"/>
      <c r="R52" s="5"/>
      <c r="S52" s="5"/>
      <c r="T52" s="5"/>
      <c r="U52" s="5"/>
      <c r="V52" s="5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</row>
    <row r="53" spans="1:54" ht="15">
      <c r="A53" s="51" t="str">
        <f>HLOOKUP(Chosen,Hide!$A$101:$C$153,51,FALSE)</f>
        <v>Środki pieniężne i ich ekwiwalenty na początek okresu</v>
      </c>
      <c r="B53" s="7">
        <v>19962</v>
      </c>
      <c r="C53" s="14">
        <v>47540</v>
      </c>
      <c r="D53" s="14">
        <v>47540</v>
      </c>
      <c r="E53" s="14">
        <v>47540</v>
      </c>
      <c r="F53" s="14">
        <v>47540</v>
      </c>
      <c r="G53" s="14">
        <v>32531</v>
      </c>
      <c r="H53" s="14">
        <v>32531</v>
      </c>
      <c r="I53" s="14">
        <v>32531</v>
      </c>
      <c r="J53" s="14">
        <v>32531.16300314</v>
      </c>
      <c r="K53" s="14">
        <v>60188.71831175101</v>
      </c>
      <c r="L53" s="14">
        <v>60188.71831175101</v>
      </c>
      <c r="M53" s="14">
        <v>60189</v>
      </c>
      <c r="N53" s="14">
        <v>60188.71831175101</v>
      </c>
      <c r="O53" s="14">
        <v>11150</v>
      </c>
      <c r="P53" s="7"/>
      <c r="Q53" s="7"/>
      <c r="R53" s="7"/>
      <c r="S53" s="7"/>
      <c r="T53" s="7"/>
      <c r="U53" s="7"/>
      <c r="V53" s="7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ht="15" hidden="1">
      <c r="A54" s="51" t="str">
        <f>HLOOKUP(Chosen,Hide!$A$101:$C$153,52,FALSE)</f>
        <v>Wpływ zmian z tytułu różnic kursowych dotyczących środków pieniężnych i ich ekwiwalentów</v>
      </c>
      <c r="B54" s="7">
        <v>0</v>
      </c>
      <c r="C54" s="15">
        <v>0</v>
      </c>
      <c r="D54" s="15">
        <v>0</v>
      </c>
      <c r="E54" s="15">
        <v>0</v>
      </c>
      <c r="F54" s="15"/>
      <c r="G54" s="15">
        <v>0</v>
      </c>
      <c r="H54" s="15">
        <v>0</v>
      </c>
      <c r="I54" s="15">
        <v>0</v>
      </c>
      <c r="J54" s="15">
        <v>0</v>
      </c>
      <c r="K54" s="15"/>
      <c r="L54" s="15">
        <v>0</v>
      </c>
      <c r="M54" s="15">
        <v>0</v>
      </c>
      <c r="N54" s="15"/>
      <c r="O54" s="15">
        <v>0</v>
      </c>
      <c r="P54" s="7"/>
      <c r="Q54" s="7"/>
      <c r="R54" s="7"/>
      <c r="S54" s="7"/>
      <c r="T54" s="7"/>
      <c r="U54" s="7"/>
      <c r="V54" s="7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6" customFormat="1" ht="15">
      <c r="A55" s="50" t="str">
        <f>HLOOKUP(Chosen,Hide!$A$101:$C$153,53,FALSE)</f>
        <v>Środki pieniężne na koniec okresu</v>
      </c>
      <c r="B55" s="8">
        <v>47540</v>
      </c>
      <c r="C55" s="8">
        <v>11976</v>
      </c>
      <c r="D55" s="8">
        <v>19203</v>
      </c>
      <c r="E55" s="8">
        <v>30187.509865956905</v>
      </c>
      <c r="F55" s="8">
        <v>32531</v>
      </c>
      <c r="G55" s="8">
        <v>26029</v>
      </c>
      <c r="H55" s="8">
        <v>44440.1636970948</v>
      </c>
      <c r="I55" s="8">
        <v>47802.038159241696</v>
      </c>
      <c r="J55" s="8">
        <v>60188.74274383727</v>
      </c>
      <c r="K55" s="8">
        <v>63352.50662678577</v>
      </c>
      <c r="L55" s="8">
        <v>20886.818418071016</v>
      </c>
      <c r="M55" s="8">
        <v>18676.680042987406</v>
      </c>
      <c r="N55" s="117">
        <f>N52+N53+N54+0.2</f>
        <v>11149.900718306391</v>
      </c>
      <c r="O55" s="117">
        <v>6271.420494834398</v>
      </c>
      <c r="P55" s="5"/>
      <c r="Q55" s="5"/>
      <c r="R55" s="5"/>
      <c r="S55" s="5"/>
      <c r="T55" s="5"/>
      <c r="U55" s="5"/>
      <c r="V55" s="5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2:54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2:54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2:54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2:54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2:54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2:54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2:54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2:54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2:54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2:54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2:54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2:54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2:54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2:54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2:54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2:54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2:54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2:54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2:54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2:54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2:54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2:54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2:54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2:54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2:54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2:54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2:54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2:54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2:54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2:54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2:54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2:54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2:54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2:54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2:54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2:54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2:54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2:54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2:54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2:54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2:54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2:54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2:54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2:54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2:54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2:54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2:54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2:54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2:54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2:54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2:54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2:54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2:54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2:54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2:54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2:54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2:54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2:54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2:54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2:54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2:54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2:54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2:54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2:54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2:54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2:54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2:54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2:54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2:54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2:54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2:54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2:54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2:54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2:54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2:54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2:54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2:54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2:54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2:54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2:54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2:54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2:54" ht="15">
      <c r="B138" s="1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2:54" ht="1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2:54" ht="1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2:54" ht="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2:54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</row>
    <row r="143" spans="2:54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</row>
    <row r="144" spans="2:54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</row>
    <row r="145" spans="2:54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</row>
    <row r="146" spans="3:54" ht="1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1:AN98"/>
  <sheetViews>
    <sheetView showGridLines="0" workbookViewId="0" topLeftCell="A1">
      <pane xSplit="1" ySplit="2" topLeftCell="U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Z36" sqref="Z36"/>
    </sheetView>
  </sheetViews>
  <sheetFormatPr defaultColWidth="9.140625" defaultRowHeight="15"/>
  <cols>
    <col min="1" max="1" width="47.421875" style="2" customWidth="1"/>
    <col min="2" max="23" width="11.421875" style="2" customWidth="1"/>
    <col min="24" max="25" width="11.28125" style="2" customWidth="1"/>
    <col min="26" max="26" width="11.421875" style="2" customWidth="1"/>
    <col min="27" max="16384" width="9.140625" style="2" customWidth="1"/>
  </cols>
  <sheetData>
    <row r="1" spans="1:2" ht="15">
      <c r="A1" s="3" t="str">
        <f>HLOOKUP(Chosen,Hide!$A$9:$C$11,2,FALSE)</f>
        <v>SPIS TREŚCI</v>
      </c>
      <c r="B1" s="4"/>
    </row>
    <row r="2" spans="1:26" s="32" customFormat="1" ht="15">
      <c r="A2" s="90" t="str">
        <f>HLOOKUP(Chosen,Hide!$A$64:$C$99,36,FALSE)</f>
        <v>tys. PLN</v>
      </c>
      <c r="B2" s="58">
        <v>41729</v>
      </c>
      <c r="C2" s="58">
        <v>41820</v>
      </c>
      <c r="D2" s="58">
        <v>41912</v>
      </c>
      <c r="E2" s="58">
        <v>42004</v>
      </c>
      <c r="F2" s="58">
        <v>42094</v>
      </c>
      <c r="G2" s="58">
        <v>42185</v>
      </c>
      <c r="H2" s="58">
        <v>42277</v>
      </c>
      <c r="I2" s="58">
        <v>42369</v>
      </c>
      <c r="J2" s="58">
        <v>42460</v>
      </c>
      <c r="K2" s="58">
        <v>42551</v>
      </c>
      <c r="L2" s="58">
        <v>42643</v>
      </c>
      <c r="M2" s="58">
        <v>42735</v>
      </c>
      <c r="N2" s="58">
        <v>42825</v>
      </c>
      <c r="O2" s="58">
        <v>42916</v>
      </c>
      <c r="P2" s="58">
        <v>43008</v>
      </c>
      <c r="Q2" s="58">
        <v>43100</v>
      </c>
      <c r="R2" s="58">
        <v>43190</v>
      </c>
      <c r="S2" s="58">
        <v>43281</v>
      </c>
      <c r="T2" s="58">
        <v>43373</v>
      </c>
      <c r="U2" s="58">
        <v>43465</v>
      </c>
      <c r="V2" s="58">
        <v>43555</v>
      </c>
      <c r="W2" s="58">
        <v>43646</v>
      </c>
      <c r="X2" s="58">
        <v>43738</v>
      </c>
      <c r="Y2" s="58">
        <v>43830</v>
      </c>
      <c r="Z2" s="58">
        <v>43921</v>
      </c>
    </row>
    <row r="3" spans="1:40" ht="15">
      <c r="A3" s="43" t="str">
        <f>HLOOKUP(Chosen,Hide!$A$181:$C$213,2,FALSE)</f>
        <v>Wartości niematerialne</v>
      </c>
      <c r="B3" s="7">
        <v>814</v>
      </c>
      <c r="C3" s="7">
        <v>710</v>
      </c>
      <c r="D3" s="7">
        <v>706</v>
      </c>
      <c r="E3" s="7">
        <v>9344</v>
      </c>
      <c r="F3" s="7">
        <v>9984</v>
      </c>
      <c r="G3" s="7">
        <v>10299</v>
      </c>
      <c r="H3" s="7">
        <v>10547</v>
      </c>
      <c r="I3" s="7">
        <v>10773</v>
      </c>
      <c r="J3" s="7">
        <v>11083</v>
      </c>
      <c r="K3" s="7">
        <v>11263</v>
      </c>
      <c r="L3" s="7">
        <v>11580</v>
      </c>
      <c r="M3" s="7">
        <v>11874</v>
      </c>
      <c r="N3" s="7">
        <v>12322</v>
      </c>
      <c r="O3" s="7">
        <v>12989</v>
      </c>
      <c r="P3" s="7">
        <v>13841.68726</v>
      </c>
      <c r="Q3" s="7">
        <v>14581</v>
      </c>
      <c r="R3" s="7">
        <v>15631</v>
      </c>
      <c r="S3" s="7">
        <v>16518.38709</v>
      </c>
      <c r="T3" s="7">
        <v>17601.87282</v>
      </c>
      <c r="U3" s="7">
        <v>18817.11984</v>
      </c>
      <c r="V3" s="7">
        <v>20043.61296</v>
      </c>
      <c r="W3" s="7">
        <v>20862.000159999996</v>
      </c>
      <c r="X3" s="7">
        <v>21520.63072</v>
      </c>
      <c r="Y3" s="7">
        <v>22287.28457</v>
      </c>
      <c r="Z3" s="7">
        <v>23029.027990000002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5">
      <c r="A4" s="43" t="str">
        <f>HLOOKUP(Chosen,Hide!$A$181:$C$213,3,FALSE)</f>
        <v>Rzeczowe aktywa trwałe</v>
      </c>
      <c r="B4" s="7">
        <v>430</v>
      </c>
      <c r="C4" s="7">
        <v>519</v>
      </c>
      <c r="D4" s="7">
        <v>640</v>
      </c>
      <c r="E4" s="7">
        <v>960</v>
      </c>
      <c r="F4" s="7">
        <v>942</v>
      </c>
      <c r="G4" s="7">
        <v>916</v>
      </c>
      <c r="H4" s="7">
        <v>871</v>
      </c>
      <c r="I4" s="7">
        <v>879</v>
      </c>
      <c r="J4" s="7">
        <v>842</v>
      </c>
      <c r="K4" s="7">
        <v>838</v>
      </c>
      <c r="L4" s="7">
        <v>871</v>
      </c>
      <c r="M4" s="7">
        <v>893</v>
      </c>
      <c r="N4" s="7">
        <v>927</v>
      </c>
      <c r="O4" s="7">
        <v>879</v>
      </c>
      <c r="P4" s="7">
        <v>900.8114000000002</v>
      </c>
      <c r="Q4" s="7">
        <v>1301</v>
      </c>
      <c r="R4" s="7">
        <v>1327</v>
      </c>
      <c r="S4" s="7">
        <v>1603.18347</v>
      </c>
      <c r="T4" s="7">
        <v>1800.3940199999997</v>
      </c>
      <c r="U4" s="7">
        <v>1999.62796</v>
      </c>
      <c r="V4" s="7">
        <v>6505.82461</v>
      </c>
      <c r="W4" s="7">
        <v>6204.95278</v>
      </c>
      <c r="X4" s="7">
        <v>5825.49457</v>
      </c>
      <c r="Y4" s="7">
        <v>5326.536</v>
      </c>
      <c r="Z4" s="7">
        <v>4879.492179999999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>
      <c r="A5" s="43" t="str">
        <f>HLOOKUP(Chosen,Hide!$A$181:$C$213,4,FALSE)</f>
        <v>Należności długoterminowe</v>
      </c>
      <c r="B5" s="7">
        <v>2051</v>
      </c>
      <c r="C5" s="7">
        <v>2750</v>
      </c>
      <c r="D5" s="7">
        <v>3469</v>
      </c>
      <c r="E5" s="7">
        <v>10</v>
      </c>
      <c r="F5" s="7">
        <v>9</v>
      </c>
      <c r="G5" s="7">
        <v>8</v>
      </c>
      <c r="H5" s="7">
        <v>7</v>
      </c>
      <c r="I5" s="7">
        <v>6</v>
      </c>
      <c r="J5" s="7">
        <v>4</v>
      </c>
      <c r="K5" s="7">
        <v>3</v>
      </c>
      <c r="L5" s="7">
        <v>2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>
      <c r="A6" s="43" t="str">
        <f>HLOOKUP(Chosen,Hide!$A$181:$C$213,5,FALSE)</f>
        <v>Aktywa finansowe</v>
      </c>
      <c r="B6" s="7">
        <v>32168</v>
      </c>
      <c r="C6" s="7">
        <v>40787</v>
      </c>
      <c r="D6" s="7">
        <v>40928</v>
      </c>
      <c r="E6" s="7">
        <v>41206</v>
      </c>
      <c r="F6" s="7">
        <v>39391</v>
      </c>
      <c r="G6" s="7">
        <v>40369</v>
      </c>
      <c r="H6" s="7">
        <v>56024</v>
      </c>
      <c r="I6" s="7">
        <v>34822</v>
      </c>
      <c r="J6" s="7">
        <v>77209</v>
      </c>
      <c r="K6" s="7">
        <v>80943</v>
      </c>
      <c r="L6" s="7">
        <v>76852</v>
      </c>
      <c r="M6" s="7">
        <v>69386</v>
      </c>
      <c r="N6" s="7">
        <v>87632</v>
      </c>
      <c r="O6" s="7">
        <v>80313</v>
      </c>
      <c r="P6" s="7">
        <v>75045.66662999999</v>
      </c>
      <c r="Q6" s="7">
        <v>74691</v>
      </c>
      <c r="R6" s="7">
        <v>74238</v>
      </c>
      <c r="S6" s="7">
        <v>70380.6327</v>
      </c>
      <c r="T6" s="7">
        <v>69872.50072</v>
      </c>
      <c r="U6" s="7">
        <v>72275.37414</v>
      </c>
      <c r="V6" s="7">
        <v>62422.48935000001</v>
      </c>
      <c r="W6" s="7">
        <v>61482.65379</v>
      </c>
      <c r="X6" s="7">
        <v>66633.40961999999</v>
      </c>
      <c r="Y6" s="7">
        <v>64021.21748</v>
      </c>
      <c r="Z6" s="7">
        <v>69973.13789999999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>
      <c r="A7" s="43" t="str">
        <f>HLOOKUP(Chosen,Hide!$A$181:$C$213,6,FALSE)</f>
        <v>Udziały w jednostkach zależnych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54169</v>
      </c>
      <c r="K7" s="7">
        <v>54169</v>
      </c>
      <c r="L7" s="7">
        <v>54169</v>
      </c>
      <c r="M7" s="7">
        <v>86720</v>
      </c>
      <c r="N7" s="7">
        <v>86720</v>
      </c>
      <c r="O7" s="7">
        <v>94771</v>
      </c>
      <c r="P7" s="7">
        <v>94770.87095</v>
      </c>
      <c r="Q7" s="7">
        <v>94771</v>
      </c>
      <c r="R7" s="7">
        <v>94771</v>
      </c>
      <c r="S7" s="7">
        <v>94770.87095</v>
      </c>
      <c r="T7" s="7">
        <v>96037.87495</v>
      </c>
      <c r="U7" s="7">
        <v>96037.87495</v>
      </c>
      <c r="V7" s="7">
        <v>96220.50439</v>
      </c>
      <c r="W7" s="7">
        <v>96220.50839</v>
      </c>
      <c r="X7" s="7">
        <v>96220.50839</v>
      </c>
      <c r="Y7" s="7">
        <v>96220.60839</v>
      </c>
      <c r="Z7" s="7">
        <v>96220.50839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5.75" customHeight="1">
      <c r="A8" s="38" t="str">
        <f>HLOOKUP(Chosen,Hide!$A$181:$C$213,7,FALSE)</f>
        <v>Aktywa z tytułu odroczonego podatku dochodowego</v>
      </c>
      <c r="B8" s="7">
        <v>112</v>
      </c>
      <c r="C8" s="7">
        <v>2</v>
      </c>
      <c r="D8" s="7">
        <v>1</v>
      </c>
      <c r="E8" s="7">
        <v>5</v>
      </c>
      <c r="F8" s="7">
        <v>412</v>
      </c>
      <c r="G8" s="7">
        <v>93</v>
      </c>
      <c r="H8" s="7">
        <v>234</v>
      </c>
      <c r="I8" s="7">
        <v>1114</v>
      </c>
      <c r="J8" s="7">
        <v>1835</v>
      </c>
      <c r="K8" s="7">
        <v>1580</v>
      </c>
      <c r="L8" s="7">
        <v>1816</v>
      </c>
      <c r="M8" s="7">
        <v>1774</v>
      </c>
      <c r="N8" s="7">
        <v>2348</v>
      </c>
      <c r="O8" s="7">
        <v>2580</v>
      </c>
      <c r="P8" s="7">
        <v>2865.479</v>
      </c>
      <c r="Q8" s="7">
        <v>3514</v>
      </c>
      <c r="R8" s="7">
        <v>3823</v>
      </c>
      <c r="S8" s="7">
        <v>2673.088</v>
      </c>
      <c r="T8" s="7">
        <v>3173.331</v>
      </c>
      <c r="U8" s="7">
        <v>1782.6056465550992</v>
      </c>
      <c r="V8" s="7">
        <v>1476.491</v>
      </c>
      <c r="W8" s="7">
        <v>1120.472</v>
      </c>
      <c r="X8" s="7">
        <v>593.262</v>
      </c>
      <c r="Y8" s="7">
        <v>828.493</v>
      </c>
      <c r="Z8" s="7">
        <v>616.063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6" customFormat="1" ht="15">
      <c r="A9" s="44" t="str">
        <f>HLOOKUP(Chosen,Hide!$A$181:$C$213,8,FALSE)</f>
        <v>Aktywa trwałe</v>
      </c>
      <c r="B9" s="8">
        <v>35575</v>
      </c>
      <c r="C9" s="8">
        <v>44768</v>
      </c>
      <c r="D9" s="8">
        <v>45744</v>
      </c>
      <c r="E9" s="8">
        <v>51525</v>
      </c>
      <c r="F9" s="8">
        <v>50738</v>
      </c>
      <c r="G9" s="8">
        <v>51685</v>
      </c>
      <c r="H9" s="8">
        <v>67683</v>
      </c>
      <c r="I9" s="8">
        <v>47594</v>
      </c>
      <c r="J9" s="8">
        <v>145142</v>
      </c>
      <c r="K9" s="8">
        <v>148796</v>
      </c>
      <c r="L9" s="8">
        <v>145290</v>
      </c>
      <c r="M9" s="8">
        <v>170648</v>
      </c>
      <c r="N9" s="8">
        <v>189949</v>
      </c>
      <c r="O9" s="8">
        <v>191532</v>
      </c>
      <c r="P9" s="8">
        <v>187424.51523999998</v>
      </c>
      <c r="Q9" s="8">
        <v>188858</v>
      </c>
      <c r="R9" s="8">
        <v>189790</v>
      </c>
      <c r="S9" s="8">
        <v>185946.16220999998</v>
      </c>
      <c r="T9" s="8">
        <v>188485.97350999998</v>
      </c>
      <c r="U9" s="8">
        <v>190912.60253655512</v>
      </c>
      <c r="V9" s="8">
        <v>186668.92231000002</v>
      </c>
      <c r="W9" s="8">
        <v>185890.58712</v>
      </c>
      <c r="X9" s="8">
        <v>190793.30529999998</v>
      </c>
      <c r="Y9" s="8">
        <v>188684.03943999996</v>
      </c>
      <c r="Z9" s="8">
        <v>194718.12945999997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">
      <c r="A10" s="43" t="str">
        <f>HLOOKUP(Chosen,Hide!$A$181:$C$213,9,FALSE)</f>
        <v>Zapasy</v>
      </c>
      <c r="B10" s="7">
        <v>3006</v>
      </c>
      <c r="C10" s="7">
        <v>8528</v>
      </c>
      <c r="D10" s="7">
        <v>11453</v>
      </c>
      <c r="E10" s="7">
        <v>7941</v>
      </c>
      <c r="F10" s="7">
        <v>7951</v>
      </c>
      <c r="G10" s="7">
        <v>8836</v>
      </c>
      <c r="H10" s="7">
        <v>9166</v>
      </c>
      <c r="I10" s="7">
        <v>9118</v>
      </c>
      <c r="J10" s="7">
        <v>9202</v>
      </c>
      <c r="K10" s="7">
        <v>9960</v>
      </c>
      <c r="L10" s="7">
        <v>10519</v>
      </c>
      <c r="M10" s="7">
        <v>9710</v>
      </c>
      <c r="N10" s="7">
        <v>9112</v>
      </c>
      <c r="O10" s="7">
        <v>9325</v>
      </c>
      <c r="P10" s="7">
        <v>8668.00106</v>
      </c>
      <c r="Q10" s="7">
        <v>7856</v>
      </c>
      <c r="R10" s="7">
        <v>6504</v>
      </c>
      <c r="S10" s="7">
        <v>5973.67372</v>
      </c>
      <c r="T10" s="7">
        <v>5944.0806600000005</v>
      </c>
      <c r="U10" s="7">
        <v>5087.861299972704</v>
      </c>
      <c r="V10" s="7">
        <v>6659.430630000001</v>
      </c>
      <c r="W10" s="7">
        <v>6767.29074</v>
      </c>
      <c r="X10" s="7">
        <v>6224.941100000001</v>
      </c>
      <c r="Y10" s="7">
        <v>5757.51919</v>
      </c>
      <c r="Z10" s="7">
        <v>4786.54818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5">
      <c r="A11" s="43" t="str">
        <f>HLOOKUP(Chosen,Hide!$A$181:$C$213,10,FALSE)</f>
        <v>Należności z tytułu dostaw i usług oraz pozostałe</v>
      </c>
      <c r="B11" s="7">
        <v>10501</v>
      </c>
      <c r="C11" s="7">
        <v>14446</v>
      </c>
      <c r="D11" s="7">
        <v>15796</v>
      </c>
      <c r="E11" s="7">
        <v>10897</v>
      </c>
      <c r="F11" s="7">
        <v>16518</v>
      </c>
      <c r="G11" s="7">
        <v>6795</v>
      </c>
      <c r="H11" s="7">
        <v>7904</v>
      </c>
      <c r="I11" s="7">
        <v>10207</v>
      </c>
      <c r="J11" s="7">
        <v>9722</v>
      </c>
      <c r="K11" s="7">
        <v>11454</v>
      </c>
      <c r="L11" s="7">
        <v>6949</v>
      </c>
      <c r="M11" s="7">
        <v>33548</v>
      </c>
      <c r="N11" s="7">
        <v>8843</v>
      </c>
      <c r="O11" s="7">
        <v>12161</v>
      </c>
      <c r="P11" s="7">
        <v>7749.70674</v>
      </c>
      <c r="Q11" s="7">
        <v>4278</v>
      </c>
      <c r="R11" s="7">
        <v>8059</v>
      </c>
      <c r="S11" s="7">
        <v>7182.51251</v>
      </c>
      <c r="T11" s="7">
        <v>6389.544750000002</v>
      </c>
      <c r="U11" s="7">
        <v>6897.430429999998</v>
      </c>
      <c r="V11" s="7">
        <v>7752.793060000001</v>
      </c>
      <c r="W11" s="7">
        <v>6746.823920000001</v>
      </c>
      <c r="X11" s="7">
        <v>8495.169029999997</v>
      </c>
      <c r="Y11" s="7">
        <v>9684.375959999998</v>
      </c>
      <c r="Z11" s="7">
        <v>16479.646719999997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5">
      <c r="A12" s="43" t="str">
        <f>HLOOKUP(Chosen,Hide!$A$181:$C$213,11,FALSE)</f>
        <v>Aktywa trwałe przeznaczone do sprzedaży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/>
      <c r="Y12" s="7">
        <v>0</v>
      </c>
      <c r="Z12" s="7">
        <v>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5">
      <c r="A13" s="43" t="str">
        <f>HLOOKUP(Chosen,Hide!$A$181:$C$213,12,FALSE)</f>
        <v>Aktywa finansowe</v>
      </c>
      <c r="B13" s="7">
        <v>4978</v>
      </c>
      <c r="C13" s="7">
        <v>683</v>
      </c>
      <c r="D13" s="7">
        <v>335</v>
      </c>
      <c r="E13" s="7">
        <v>329</v>
      </c>
      <c r="F13" s="7">
        <v>0</v>
      </c>
      <c r="G13" s="7">
        <v>0</v>
      </c>
      <c r="H13" s="7">
        <v>0</v>
      </c>
      <c r="I13" s="7">
        <v>15385</v>
      </c>
      <c r="J13" s="7">
        <v>14816</v>
      </c>
      <c r="K13" s="11" t="s">
        <v>114</v>
      </c>
      <c r="L13" s="7">
        <v>4346</v>
      </c>
      <c r="M13" s="7">
        <v>12159</v>
      </c>
      <c r="N13" s="7">
        <v>19111</v>
      </c>
      <c r="O13" s="7">
        <v>10643</v>
      </c>
      <c r="P13" s="7">
        <v>15545.0574</v>
      </c>
      <c r="Q13" s="7">
        <v>4226</v>
      </c>
      <c r="R13" s="7">
        <v>4276</v>
      </c>
      <c r="S13" s="7">
        <v>10705.2806</v>
      </c>
      <c r="T13" s="7">
        <v>10737.5903</v>
      </c>
      <c r="U13" s="7">
        <v>5942.23069</v>
      </c>
      <c r="V13" s="7">
        <v>18198.50746</v>
      </c>
      <c r="W13" s="7">
        <v>0</v>
      </c>
      <c r="X13" s="7">
        <v>0</v>
      </c>
      <c r="Y13" s="7">
        <v>0</v>
      </c>
      <c r="Z13" s="7">
        <v>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5">
      <c r="A14" s="43" t="str">
        <f>HLOOKUP(Chosen,Hide!$A$181:$C$213,13,FALSE)</f>
        <v>Środki pieniężne i ich ekwiwalenty</v>
      </c>
      <c r="B14" s="7">
        <v>36029</v>
      </c>
      <c r="C14" s="7">
        <v>25386</v>
      </c>
      <c r="D14" s="7">
        <v>19278</v>
      </c>
      <c r="E14" s="7">
        <v>24200</v>
      </c>
      <c r="F14" s="7">
        <v>25386</v>
      </c>
      <c r="G14" s="7">
        <v>39454</v>
      </c>
      <c r="H14" s="7">
        <v>20019</v>
      </c>
      <c r="I14" s="7">
        <v>19962</v>
      </c>
      <c r="J14" s="7">
        <v>4427</v>
      </c>
      <c r="K14" s="7">
        <v>17732</v>
      </c>
      <c r="L14" s="7">
        <v>19421</v>
      </c>
      <c r="M14" s="7">
        <v>31779</v>
      </c>
      <c r="N14" s="7">
        <v>1681</v>
      </c>
      <c r="O14" s="7">
        <v>565</v>
      </c>
      <c r="P14" s="7">
        <v>4399.23465</v>
      </c>
      <c r="Q14" s="7">
        <v>10204</v>
      </c>
      <c r="R14" s="7">
        <v>10367</v>
      </c>
      <c r="S14" s="7">
        <v>16172.45908</v>
      </c>
      <c r="T14" s="7">
        <v>11033.43323</v>
      </c>
      <c r="U14" s="7">
        <v>15749.766730000001</v>
      </c>
      <c r="V14" s="7">
        <v>16972.014929999998</v>
      </c>
      <c r="W14" s="7">
        <v>2518.8797999999997</v>
      </c>
      <c r="X14" s="7">
        <v>1432.8891099999998</v>
      </c>
      <c r="Y14" s="7">
        <v>1987.4179999999997</v>
      </c>
      <c r="Z14" s="7">
        <v>1236.25369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6" customFormat="1" ht="15">
      <c r="A15" s="44" t="str">
        <f>HLOOKUP(Chosen,Hide!$A$181:$C$213,14,FALSE)</f>
        <v>Aktywa obrotowe</v>
      </c>
      <c r="B15" s="8">
        <v>54514</v>
      </c>
      <c r="C15" s="8">
        <v>49043</v>
      </c>
      <c r="D15" s="8">
        <v>46862</v>
      </c>
      <c r="E15" s="8">
        <v>43367</v>
      </c>
      <c r="F15" s="8">
        <v>49855</v>
      </c>
      <c r="G15" s="8">
        <v>55085</v>
      </c>
      <c r="H15" s="8">
        <v>37089</v>
      </c>
      <c r="I15" s="8">
        <v>54672</v>
      </c>
      <c r="J15" s="8">
        <v>38167</v>
      </c>
      <c r="K15" s="8">
        <v>39146</v>
      </c>
      <c r="L15" s="8">
        <v>41235</v>
      </c>
      <c r="M15" s="8">
        <v>87196</v>
      </c>
      <c r="N15" s="8">
        <v>38747</v>
      </c>
      <c r="O15" s="8">
        <v>32694</v>
      </c>
      <c r="P15" s="8">
        <v>36361.99985</v>
      </c>
      <c r="Q15" s="8">
        <v>26564</v>
      </c>
      <c r="R15" s="8">
        <v>29206</v>
      </c>
      <c r="S15" s="8">
        <v>40033.92591</v>
      </c>
      <c r="T15" s="8">
        <v>34104.64894000001</v>
      </c>
      <c r="U15" s="8">
        <v>33677.289149972705</v>
      </c>
      <c r="V15" s="8">
        <v>49582.74608</v>
      </c>
      <c r="W15" s="8">
        <v>16032.994460000002</v>
      </c>
      <c r="X15" s="8">
        <v>16152.999239999997</v>
      </c>
      <c r="Y15" s="8">
        <v>17429.313149999994</v>
      </c>
      <c r="Z15" s="8">
        <v>22502.548589999995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18" customFormat="1" ht="15">
      <c r="A16" s="45" t="str">
        <f>HLOOKUP(Chosen,Hide!$A$181:$C$213,15,FALSE)</f>
        <v>AKTYWA RAZEM</v>
      </c>
      <c r="B16" s="17">
        <v>90089</v>
      </c>
      <c r="C16" s="17">
        <v>93811</v>
      </c>
      <c r="D16" s="17">
        <v>92606</v>
      </c>
      <c r="E16" s="17">
        <v>94892</v>
      </c>
      <c r="F16" s="17">
        <v>100593</v>
      </c>
      <c r="G16" s="17">
        <v>106770</v>
      </c>
      <c r="H16" s="17">
        <v>104772</v>
      </c>
      <c r="I16" s="17">
        <v>102266</v>
      </c>
      <c r="J16" s="17">
        <v>183309</v>
      </c>
      <c r="K16" s="17">
        <v>187942</v>
      </c>
      <c r="L16" s="17">
        <v>186525</v>
      </c>
      <c r="M16" s="17">
        <v>257844</v>
      </c>
      <c r="N16" s="17">
        <v>228696</v>
      </c>
      <c r="O16" s="17">
        <v>224226</v>
      </c>
      <c r="P16" s="17">
        <v>223786.51508999997</v>
      </c>
      <c r="Q16" s="17">
        <v>215422</v>
      </c>
      <c r="R16" s="17">
        <v>218996</v>
      </c>
      <c r="S16" s="17">
        <v>225980.08811999997</v>
      </c>
      <c r="T16" s="17">
        <v>222590.62245</v>
      </c>
      <c r="U16" s="17">
        <v>224590.0416865278</v>
      </c>
      <c r="V16" s="17">
        <v>236251.66839</v>
      </c>
      <c r="W16" s="17">
        <v>201923.58158</v>
      </c>
      <c r="X16" s="17">
        <v>206946.30453999998</v>
      </c>
      <c r="Y16" s="17">
        <v>206113.35258999997</v>
      </c>
      <c r="Z16" s="17">
        <v>217220.67804999996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5">
      <c r="A17" s="46" t="str">
        <f>HLOOKUP(Chosen,Hide!$A$181:$C$213,16,FALSE)</f>
        <v>Kapitał zakładowy</v>
      </c>
      <c r="B17" s="7">
        <v>342</v>
      </c>
      <c r="C17" s="7">
        <v>346</v>
      </c>
      <c r="D17" s="7">
        <v>346</v>
      </c>
      <c r="E17" s="7">
        <v>346</v>
      </c>
      <c r="F17" s="7">
        <v>346</v>
      </c>
      <c r="G17" s="7">
        <v>346</v>
      </c>
      <c r="H17" s="7">
        <v>346</v>
      </c>
      <c r="I17" s="7">
        <v>346</v>
      </c>
      <c r="J17" s="7">
        <v>361</v>
      </c>
      <c r="K17" s="7">
        <v>361</v>
      </c>
      <c r="L17" s="7">
        <v>361</v>
      </c>
      <c r="M17" s="7">
        <v>361</v>
      </c>
      <c r="N17" s="7">
        <v>361</v>
      </c>
      <c r="O17" s="7">
        <v>361</v>
      </c>
      <c r="P17" s="7">
        <v>360.65259999999995</v>
      </c>
      <c r="Q17" s="7">
        <v>361</v>
      </c>
      <c r="R17" s="7">
        <v>361</v>
      </c>
      <c r="S17" s="7">
        <v>360.65259999999995</v>
      </c>
      <c r="T17" s="7">
        <v>360.65259999999995</v>
      </c>
      <c r="U17" s="7">
        <v>360.65259999999995</v>
      </c>
      <c r="V17" s="111">
        <v>361</v>
      </c>
      <c r="W17" s="111">
        <v>361</v>
      </c>
      <c r="X17" s="111">
        <v>360.65259999999995</v>
      </c>
      <c r="Y17" s="111">
        <v>360.65259999999995</v>
      </c>
      <c r="Z17" s="111">
        <v>360.65259999999995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5">
      <c r="A18" s="46" t="str">
        <f>HLOOKUP(Chosen,Hide!$A$181:$C$213,17,FALSE)</f>
        <v>Kapitał zapasowy</v>
      </c>
      <c r="B18" s="7">
        <v>69710</v>
      </c>
      <c r="C18" s="7">
        <v>75920</v>
      </c>
      <c r="D18" s="7">
        <v>75920</v>
      </c>
      <c r="E18" s="7">
        <v>75920</v>
      </c>
      <c r="F18" s="7">
        <v>75920</v>
      </c>
      <c r="G18" s="7">
        <v>84917</v>
      </c>
      <c r="H18" s="7">
        <v>84917</v>
      </c>
      <c r="I18" s="7">
        <v>84917</v>
      </c>
      <c r="J18" s="7">
        <v>117937</v>
      </c>
      <c r="K18" s="7">
        <v>124620</v>
      </c>
      <c r="L18" s="7">
        <v>124620</v>
      </c>
      <c r="M18" s="7">
        <v>124621</v>
      </c>
      <c r="N18" s="7">
        <v>124621</v>
      </c>
      <c r="O18" s="7">
        <v>159042</v>
      </c>
      <c r="P18" s="7">
        <v>159042.3659</v>
      </c>
      <c r="Q18" s="7">
        <v>159042</v>
      </c>
      <c r="R18" s="7">
        <v>159042</v>
      </c>
      <c r="S18" s="7">
        <v>151090.64075</v>
      </c>
      <c r="T18" s="7">
        <v>151090.64075</v>
      </c>
      <c r="U18" s="7">
        <v>155393.66074999998</v>
      </c>
      <c r="V18" s="111">
        <v>155394</v>
      </c>
      <c r="W18" s="111">
        <v>166718.63295</v>
      </c>
      <c r="X18" s="111">
        <v>166718.63295</v>
      </c>
      <c r="Y18" s="111">
        <v>166718.63295</v>
      </c>
      <c r="Z18" s="111">
        <v>166718.63295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">
      <c r="A19" s="46" t="str">
        <f>HLOOKUP(Chosen,Hide!$A$181:$C$213,18,FALSE)</f>
        <v>Kapitał z wyceny programu motywacyjnego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792</v>
      </c>
      <c r="K19" s="7">
        <v>1585</v>
      </c>
      <c r="L19" s="7">
        <v>2378</v>
      </c>
      <c r="M19" s="7">
        <v>3170</v>
      </c>
      <c r="N19" s="7">
        <v>4175</v>
      </c>
      <c r="O19" s="7">
        <v>5179</v>
      </c>
      <c r="P19" s="7">
        <v>5179</v>
      </c>
      <c r="Q19" s="7">
        <v>5312</v>
      </c>
      <c r="R19" s="7">
        <v>6054</v>
      </c>
      <c r="S19" s="7">
        <v>6796.5</v>
      </c>
      <c r="T19" s="7">
        <v>7538.75</v>
      </c>
      <c r="U19" s="7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46" t="str">
        <f>HLOOKUP(Chosen,Hide!$A$181:$C$213,19,FALSE)</f>
        <v>Zyski zatrzymane</v>
      </c>
      <c r="B20" s="7">
        <v>14648</v>
      </c>
      <c r="C20" s="7">
        <v>7635</v>
      </c>
      <c r="D20" s="7">
        <v>11732</v>
      </c>
      <c r="E20" s="7">
        <v>14526</v>
      </c>
      <c r="F20" s="7">
        <v>19593</v>
      </c>
      <c r="G20" s="7">
        <v>10307</v>
      </c>
      <c r="H20" s="7">
        <v>13067</v>
      </c>
      <c r="I20" s="7">
        <v>13925</v>
      </c>
      <c r="J20" s="7">
        <v>7865</v>
      </c>
      <c r="K20" s="7">
        <v>1249</v>
      </c>
      <c r="L20" s="7">
        <v>3537</v>
      </c>
      <c r="M20" s="7">
        <v>41634</v>
      </c>
      <c r="N20" s="7">
        <v>42435</v>
      </c>
      <c r="O20" s="7">
        <v>-3668</v>
      </c>
      <c r="P20" s="7">
        <v>-2290.624429999998</v>
      </c>
      <c r="Q20" s="7">
        <v>-2830</v>
      </c>
      <c r="R20" s="7">
        <v>-1970</v>
      </c>
      <c r="S20" s="7">
        <v>7097.1322500000015</v>
      </c>
      <c r="T20" s="7">
        <v>7389.101840000004</v>
      </c>
      <c r="U20" s="7">
        <v>11325.272851001951</v>
      </c>
      <c r="V20" s="112">
        <v>16363.074439999999</v>
      </c>
      <c r="W20" s="112">
        <v>6934</v>
      </c>
      <c r="X20" s="112">
        <v>14661.473389999992</v>
      </c>
      <c r="Y20" s="112">
        <v>16593.783569999992</v>
      </c>
      <c r="Z20" s="112">
        <v>27596.95579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6" customFormat="1" ht="15">
      <c r="A21" s="47" t="str">
        <f>HLOOKUP(Chosen,Hide!$A$181:$C$213,20,FALSE)</f>
        <v>Kapitał własny</v>
      </c>
      <c r="B21" s="8">
        <v>84700</v>
      </c>
      <c r="C21" s="8">
        <v>83901</v>
      </c>
      <c r="D21" s="8">
        <v>87998</v>
      </c>
      <c r="E21" s="8">
        <v>90792</v>
      </c>
      <c r="F21" s="8">
        <v>95859</v>
      </c>
      <c r="G21" s="8">
        <v>95570</v>
      </c>
      <c r="H21" s="8">
        <v>98330</v>
      </c>
      <c r="I21" s="8">
        <v>99188</v>
      </c>
      <c r="J21" s="8">
        <v>126955</v>
      </c>
      <c r="K21" s="8">
        <v>127815</v>
      </c>
      <c r="L21" s="8">
        <v>130896</v>
      </c>
      <c r="M21" s="8">
        <v>169786</v>
      </c>
      <c r="N21" s="8">
        <v>171592</v>
      </c>
      <c r="O21" s="8">
        <v>160914</v>
      </c>
      <c r="P21" s="8">
        <v>162291.39407</v>
      </c>
      <c r="Q21" s="8">
        <v>161885</v>
      </c>
      <c r="R21" s="8">
        <v>163487</v>
      </c>
      <c r="S21" s="8">
        <v>165345.5256</v>
      </c>
      <c r="T21" s="8">
        <v>166379.50519</v>
      </c>
      <c r="U21" s="8">
        <v>167079.58620100195</v>
      </c>
      <c r="V21" s="8">
        <v>172117.93443999998</v>
      </c>
      <c r="W21" s="8">
        <v>174013.63295</v>
      </c>
      <c r="X21" s="8">
        <v>181740.75894</v>
      </c>
      <c r="Y21" s="8">
        <v>183673.61912</v>
      </c>
      <c r="Z21" s="8">
        <v>194676.50134000002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46" t="str">
        <f>HLOOKUP(Chosen,Hide!$A$181:$C$213,21,FALSE)</f>
        <v>Rezerwy</v>
      </c>
      <c r="B22" s="7">
        <v>575</v>
      </c>
      <c r="C22" s="7">
        <v>5</v>
      </c>
      <c r="D22" s="7">
        <v>0</v>
      </c>
      <c r="E22" s="7">
        <v>16</v>
      </c>
      <c r="F22" s="7">
        <v>0</v>
      </c>
      <c r="G22" s="7">
        <v>0</v>
      </c>
      <c r="H22" s="7">
        <v>0</v>
      </c>
      <c r="I22" s="7">
        <v>22</v>
      </c>
      <c r="J22" s="11" t="s">
        <v>114</v>
      </c>
      <c r="K22" s="7">
        <v>30</v>
      </c>
      <c r="L22" s="7">
        <v>55</v>
      </c>
      <c r="M22" s="7">
        <v>414</v>
      </c>
      <c r="N22" s="7">
        <v>474</v>
      </c>
      <c r="O22" s="7">
        <v>502</v>
      </c>
      <c r="P22" s="7">
        <v>401.65868</v>
      </c>
      <c r="Q22" s="7">
        <v>573</v>
      </c>
      <c r="R22" s="7">
        <v>617</v>
      </c>
      <c r="S22" s="7">
        <v>699.76148</v>
      </c>
      <c r="T22" s="7">
        <v>653.86327</v>
      </c>
      <c r="U22" s="7">
        <v>796.79107</v>
      </c>
      <c r="V22" s="7">
        <v>917.3876899999999</v>
      </c>
      <c r="W22" s="7">
        <v>885.75798</v>
      </c>
      <c r="X22" s="7">
        <v>822.5058499999999</v>
      </c>
      <c r="Y22" s="7">
        <v>715.85455</v>
      </c>
      <c r="Z22" s="7">
        <v>744.0365400000001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30">
      <c r="A23" s="46" t="str">
        <f>HLOOKUP(Chosen,Hide!$A$181:$C$213,22,FALSE)</f>
        <v>Rezerwa z tytułu odroczonego podatku dochodowego</v>
      </c>
      <c r="B23" s="7">
        <v>185</v>
      </c>
      <c r="C23" s="7">
        <v>219</v>
      </c>
      <c r="D23" s="7">
        <v>222</v>
      </c>
      <c r="E23" s="7">
        <v>230</v>
      </c>
      <c r="F23" s="7">
        <v>312</v>
      </c>
      <c r="G23" s="7">
        <v>369</v>
      </c>
      <c r="H23" s="7">
        <v>176</v>
      </c>
      <c r="I23" s="7">
        <v>28</v>
      </c>
      <c r="J23" s="7">
        <v>19</v>
      </c>
      <c r="K23" s="7">
        <v>862</v>
      </c>
      <c r="L23" s="7">
        <v>577</v>
      </c>
      <c r="M23" s="7">
        <v>1562</v>
      </c>
      <c r="N23" s="7">
        <v>790</v>
      </c>
      <c r="O23" s="7">
        <v>1386</v>
      </c>
      <c r="P23" s="7">
        <v>1228.02</v>
      </c>
      <c r="Q23" s="7">
        <v>536</v>
      </c>
      <c r="R23" s="7">
        <v>994</v>
      </c>
      <c r="S23" s="7">
        <v>1212.005</v>
      </c>
      <c r="T23" s="7">
        <v>1289.796</v>
      </c>
      <c r="U23" s="7">
        <v>1465.094</v>
      </c>
      <c r="V23" s="7">
        <v>1828.606</v>
      </c>
      <c r="W23" s="7">
        <v>1906.4569999999999</v>
      </c>
      <c r="X23" s="7">
        <v>2629.942</v>
      </c>
      <c r="Y23" s="7">
        <v>2409.467</v>
      </c>
      <c r="Z23" s="7">
        <v>3561.544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5">
      <c r="A24" s="46" t="s">
        <v>62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7916.2</v>
      </c>
      <c r="X24" s="7">
        <v>5541.1</v>
      </c>
      <c r="Y24" s="7">
        <v>9697.525080000001</v>
      </c>
      <c r="Z24" s="7">
        <v>8444.088880000001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30">
      <c r="A25" s="46" t="str">
        <f>HLOOKUP(Chosen,Hide!$A$181:$C$216,23,FALSE)</f>
        <v>Zobowiązania z tytułu obligacji i inne zobowiązania finansowe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49762</v>
      </c>
      <c r="L25" s="7">
        <v>49688</v>
      </c>
      <c r="M25" s="7">
        <v>49738</v>
      </c>
      <c r="N25" s="7">
        <v>49788</v>
      </c>
      <c r="O25" s="7">
        <v>49838</v>
      </c>
      <c r="P25" s="7">
        <v>49888.33313</v>
      </c>
      <c r="Q25" s="7">
        <v>49938</v>
      </c>
      <c r="R25" s="7">
        <v>49988</v>
      </c>
      <c r="S25" s="7">
        <v>0</v>
      </c>
      <c r="T25" s="7">
        <v>0</v>
      </c>
      <c r="U25" s="7">
        <v>0</v>
      </c>
      <c r="V25" s="7">
        <v>3501.98782</v>
      </c>
      <c r="W25" s="7">
        <v>3196.65218</v>
      </c>
      <c r="X25" s="7">
        <v>2959.94871</v>
      </c>
      <c r="Y25" s="7">
        <v>2656.0831200000002</v>
      </c>
      <c r="Z25" s="7">
        <v>2745.3207599999996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>
      <c r="A26" s="46" t="str">
        <f>HLOOKUP(Chosen,Hide!$A$181:$C$216,35,FALSE)</f>
        <v>Pozostałe zobowiązania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160</v>
      </c>
      <c r="P26" s="7">
        <v>160</v>
      </c>
      <c r="Q26" s="7">
        <v>120</v>
      </c>
      <c r="R26" s="7">
        <v>120</v>
      </c>
      <c r="S26" s="7">
        <v>120</v>
      </c>
      <c r="T26" s="7">
        <v>80</v>
      </c>
      <c r="U26" s="7">
        <v>80</v>
      </c>
      <c r="V26" s="7">
        <v>80</v>
      </c>
      <c r="W26" s="7">
        <v>40</v>
      </c>
      <c r="X26" s="7">
        <v>40</v>
      </c>
      <c r="Y26" s="7">
        <v>0</v>
      </c>
      <c r="Z26" s="7">
        <v>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">
      <c r="A27" s="46" t="str">
        <f>HLOOKUP(Chosen,Hide!$A$181:$C$213,24,FALSE)</f>
        <v>Rozliczenia międzyokresowe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1208</v>
      </c>
      <c r="L27" s="7">
        <v>708</v>
      </c>
      <c r="M27" s="7">
        <v>629</v>
      </c>
      <c r="N27" s="7">
        <v>550</v>
      </c>
      <c r="O27" s="7">
        <v>472</v>
      </c>
      <c r="P27" s="7">
        <v>393.19919000000004</v>
      </c>
      <c r="Q27" s="7">
        <v>315</v>
      </c>
      <c r="R27" s="7">
        <v>236</v>
      </c>
      <c r="S27" s="7">
        <v>239.3945</v>
      </c>
      <c r="T27" s="7">
        <v>287.37938</v>
      </c>
      <c r="U27" s="7">
        <v>385.88148000000007</v>
      </c>
      <c r="V27" s="7">
        <v>517.72914</v>
      </c>
      <c r="W27" s="7">
        <v>686.05741</v>
      </c>
      <c r="X27" s="7">
        <v>856.3320699999999</v>
      </c>
      <c r="Y27" s="7">
        <v>1026.44808</v>
      </c>
      <c r="Z27" s="7">
        <v>1075.72803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s="6" customFormat="1" ht="15">
      <c r="A28" s="48" t="str">
        <f>HLOOKUP(Chosen,Hide!$A$181:$C$213,25,FALSE)</f>
        <v>Zobowiązania długoterminowe</v>
      </c>
      <c r="B28" s="8">
        <v>760</v>
      </c>
      <c r="C28" s="8">
        <v>224</v>
      </c>
      <c r="D28" s="8">
        <v>222</v>
      </c>
      <c r="E28" s="8">
        <v>246</v>
      </c>
      <c r="F28" s="8">
        <v>312</v>
      </c>
      <c r="G28" s="8">
        <v>369</v>
      </c>
      <c r="H28" s="8">
        <v>176</v>
      </c>
      <c r="I28" s="8">
        <v>50</v>
      </c>
      <c r="J28" s="8">
        <v>19</v>
      </c>
      <c r="K28" s="8">
        <v>51862</v>
      </c>
      <c r="L28" s="8">
        <v>51028</v>
      </c>
      <c r="M28" s="8">
        <v>52343</v>
      </c>
      <c r="N28" s="8">
        <v>51602</v>
      </c>
      <c r="O28" s="8">
        <v>52358</v>
      </c>
      <c r="P28" s="8">
        <v>52071.210999999996</v>
      </c>
      <c r="Q28" s="8">
        <v>51482</v>
      </c>
      <c r="R28" s="8">
        <v>51955</v>
      </c>
      <c r="S28" s="8">
        <v>2271.16098</v>
      </c>
      <c r="T28" s="8">
        <v>2311.03865</v>
      </c>
      <c r="U28" s="8">
        <v>2727.7665500000003</v>
      </c>
      <c r="V28" s="8">
        <v>6845.71065</v>
      </c>
      <c r="W28" s="8">
        <v>14631.124569999998</v>
      </c>
      <c r="X28" s="8">
        <v>12849.82863</v>
      </c>
      <c r="Y28" s="8">
        <v>16505.37783</v>
      </c>
      <c r="Z28" s="8">
        <v>16570.71821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46" t="str">
        <f>HLOOKUP(Chosen,Hide!$A$181:$C$213,26,FALSE)</f>
        <v>Kredyty i pożyczki</v>
      </c>
      <c r="B29" s="7">
        <v>16</v>
      </c>
      <c r="C29" s="7">
        <v>6</v>
      </c>
      <c r="D29" s="7">
        <v>17</v>
      </c>
      <c r="E29" s="7">
        <v>3</v>
      </c>
      <c r="F29" s="7">
        <v>19</v>
      </c>
      <c r="G29" s="7">
        <v>20</v>
      </c>
      <c r="H29" s="7">
        <v>39</v>
      </c>
      <c r="I29" s="7">
        <v>31</v>
      </c>
      <c r="J29" s="7">
        <v>14</v>
      </c>
      <c r="K29" s="7">
        <v>8</v>
      </c>
      <c r="L29" s="7">
        <v>6</v>
      </c>
      <c r="M29" s="7">
        <v>9</v>
      </c>
      <c r="N29" s="7">
        <v>658</v>
      </c>
      <c r="O29" s="7">
        <v>1410</v>
      </c>
      <c r="P29" s="7">
        <v>12.92495</v>
      </c>
      <c r="Q29" s="7">
        <v>11</v>
      </c>
      <c r="R29" s="7">
        <v>8</v>
      </c>
      <c r="S29" s="7">
        <v>28.48427</v>
      </c>
      <c r="T29" s="7">
        <v>31.49163</v>
      </c>
      <c r="U29" s="7">
        <v>39.051010000000005</v>
      </c>
      <c r="V29" s="7">
        <v>41.89599</v>
      </c>
      <c r="W29" s="7">
        <v>9514.300519999999</v>
      </c>
      <c r="X29" s="7">
        <v>9557.1489</v>
      </c>
      <c r="Y29" s="7">
        <v>2980.61097</v>
      </c>
      <c r="Z29" s="7">
        <v>3024.7811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30">
      <c r="A30" s="46" t="str">
        <f>HLOOKUP(Chosen,Hide!$A$181:$C$216,23,FALSE)</f>
        <v>Zobowiązania z tytułu obligacji i inne zobowiązania finansowe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47535</v>
      </c>
      <c r="K30" s="7">
        <v>198</v>
      </c>
      <c r="L30" s="7">
        <v>1007</v>
      </c>
      <c r="M30" s="7">
        <v>335</v>
      </c>
      <c r="N30" s="7">
        <v>1014</v>
      </c>
      <c r="O30" s="7">
        <v>328</v>
      </c>
      <c r="P30" s="7">
        <v>1023.0000799999999</v>
      </c>
      <c r="Q30" s="7">
        <v>336</v>
      </c>
      <c r="R30" s="7">
        <v>1015</v>
      </c>
      <c r="S30" s="7">
        <v>50363.83315</v>
      </c>
      <c r="T30" s="7">
        <v>51104.33313</v>
      </c>
      <c r="U30" s="7">
        <v>50472.33311</v>
      </c>
      <c r="V30" s="7">
        <v>52207.354069999994</v>
      </c>
      <c r="W30" s="7">
        <v>1006.43551</v>
      </c>
      <c r="X30" s="7">
        <v>1054.80725</v>
      </c>
      <c r="Y30" s="7">
        <v>1042.2175</v>
      </c>
      <c r="Z30" s="7">
        <v>831.32367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.75" customHeight="1">
      <c r="A31" s="46" t="str">
        <f>HLOOKUP(Chosen,Hide!$A$181:$C$213,28,FALSE)</f>
        <v>Zobowiązania z tytułu dostaw i usług oraz pozostałe</v>
      </c>
      <c r="B31" s="7">
        <v>1033</v>
      </c>
      <c r="C31" s="7">
        <v>6512</v>
      </c>
      <c r="D31" s="7">
        <v>1089</v>
      </c>
      <c r="E31" s="7">
        <v>1073</v>
      </c>
      <c r="F31" s="7">
        <v>1629</v>
      </c>
      <c r="G31" s="7">
        <v>8344</v>
      </c>
      <c r="H31" s="7">
        <v>2909</v>
      </c>
      <c r="I31" s="7">
        <v>571</v>
      </c>
      <c r="J31" s="7">
        <v>5025</v>
      </c>
      <c r="K31" s="7">
        <v>7272</v>
      </c>
      <c r="L31" s="7">
        <v>2695</v>
      </c>
      <c r="M31" s="7">
        <v>34505</v>
      </c>
      <c r="N31" s="7">
        <v>1845</v>
      </c>
      <c r="O31" s="7">
        <v>8855</v>
      </c>
      <c r="P31" s="7">
        <v>8021.81587</v>
      </c>
      <c r="Q31" s="7">
        <v>1326</v>
      </c>
      <c r="R31" s="7">
        <v>2188</v>
      </c>
      <c r="S31" s="7">
        <v>7656.475</v>
      </c>
      <c r="T31" s="7">
        <v>2449.8247300000003</v>
      </c>
      <c r="U31" s="7">
        <v>3956.4954055258577</v>
      </c>
      <c r="V31" s="7">
        <v>4802.98196552586</v>
      </c>
      <c r="W31" s="7">
        <v>2600.5929</v>
      </c>
      <c r="X31" s="7">
        <v>1466.9107499999998</v>
      </c>
      <c r="Y31" s="7">
        <v>1910.6772500000002</v>
      </c>
      <c r="Z31" s="7">
        <v>2117.4937299999997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>
      <c r="A32" s="46" t="str">
        <f>HLOOKUP(Chosen,Hide!$A$181:$C$213,29,FALSE)</f>
        <v>Zobowiązania z tytułu podatku dochodowego</v>
      </c>
      <c r="B32" s="7">
        <v>920</v>
      </c>
      <c r="C32" s="7">
        <v>544</v>
      </c>
      <c r="D32" s="7">
        <v>657</v>
      </c>
      <c r="E32" s="7">
        <v>0</v>
      </c>
      <c r="F32" s="7">
        <v>111</v>
      </c>
      <c r="G32" s="7">
        <v>0</v>
      </c>
      <c r="H32" s="7">
        <v>191</v>
      </c>
      <c r="I32" s="7">
        <v>281</v>
      </c>
      <c r="J32" s="7">
        <v>0</v>
      </c>
      <c r="K32" s="7">
        <v>0</v>
      </c>
      <c r="L32" s="7">
        <v>239</v>
      </c>
      <c r="M32" s="7">
        <v>357</v>
      </c>
      <c r="N32" s="7">
        <v>0</v>
      </c>
      <c r="O32" s="7">
        <v>0</v>
      </c>
      <c r="P32" s="7">
        <v>0</v>
      </c>
      <c r="Q32" s="7">
        <v>67</v>
      </c>
      <c r="R32" s="7">
        <v>28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197.49</v>
      </c>
      <c r="Y32" s="7">
        <v>0</v>
      </c>
      <c r="Z32" s="7">
        <v>0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>
      <c r="A33" s="46" t="str">
        <f>HLOOKUP(Chosen,Hide!$A$181:$C$213,30,FALSE)</f>
        <v>Rozliczenia międzyokresowe</v>
      </c>
      <c r="B33" s="7">
        <v>2660</v>
      </c>
      <c r="C33" s="7">
        <v>2624</v>
      </c>
      <c r="D33" s="7">
        <v>2623</v>
      </c>
      <c r="E33" s="7">
        <v>2778</v>
      </c>
      <c r="F33" s="7">
        <v>2663</v>
      </c>
      <c r="G33" s="7">
        <v>2467</v>
      </c>
      <c r="H33" s="7">
        <v>3127</v>
      </c>
      <c r="I33" s="7">
        <v>2145</v>
      </c>
      <c r="J33" s="7">
        <v>3761</v>
      </c>
      <c r="K33" s="7">
        <v>787</v>
      </c>
      <c r="L33" s="7">
        <v>654</v>
      </c>
      <c r="M33" s="7">
        <v>509</v>
      </c>
      <c r="N33" s="7">
        <v>1985</v>
      </c>
      <c r="O33" s="7">
        <v>361</v>
      </c>
      <c r="P33" s="7">
        <v>366.76912</v>
      </c>
      <c r="Q33" s="7">
        <v>315</v>
      </c>
      <c r="R33" s="7">
        <v>315</v>
      </c>
      <c r="S33" s="7">
        <v>314.55912</v>
      </c>
      <c r="T33" s="7">
        <v>314.55912</v>
      </c>
      <c r="U33" s="7">
        <v>314.55940999999996</v>
      </c>
      <c r="V33" s="7">
        <v>235.91963</v>
      </c>
      <c r="W33" s="7">
        <v>157.52985</v>
      </c>
      <c r="X33" s="7">
        <v>78.64007000000001</v>
      </c>
      <c r="Y33" s="7">
        <v>0</v>
      </c>
      <c r="Z33" s="7">
        <v>0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s="6" customFormat="1" ht="15">
      <c r="A34" s="48" t="str">
        <f>HLOOKUP(Chosen,Hide!$A$181:$C$213,31,FALSE)</f>
        <v>Zobowiązania krótkoterminowe</v>
      </c>
      <c r="B34" s="8">
        <v>4629</v>
      </c>
      <c r="C34" s="8">
        <v>9686</v>
      </c>
      <c r="D34" s="8">
        <v>4386</v>
      </c>
      <c r="E34" s="8">
        <v>3854</v>
      </c>
      <c r="F34" s="8">
        <v>4422</v>
      </c>
      <c r="G34" s="8">
        <v>10831</v>
      </c>
      <c r="H34" s="8">
        <v>6266</v>
      </c>
      <c r="I34" s="8">
        <v>3028</v>
      </c>
      <c r="J34" s="8">
        <v>56335</v>
      </c>
      <c r="K34" s="8">
        <v>8265</v>
      </c>
      <c r="L34" s="8">
        <v>4601</v>
      </c>
      <c r="M34" s="8">
        <v>35715</v>
      </c>
      <c r="N34" s="8">
        <v>5502</v>
      </c>
      <c r="O34" s="8">
        <v>10954</v>
      </c>
      <c r="P34" s="8">
        <v>9424.510020000002</v>
      </c>
      <c r="Q34" s="8">
        <v>2055</v>
      </c>
      <c r="R34" s="8">
        <v>3554</v>
      </c>
      <c r="S34" s="8">
        <v>58363.201539999995</v>
      </c>
      <c r="T34" s="8">
        <v>53900.208609999994</v>
      </c>
      <c r="U34" s="8">
        <v>54782.43893552586</v>
      </c>
      <c r="V34" s="8">
        <v>57288.15165552585</v>
      </c>
      <c r="W34" s="8">
        <v>13278.858779999999</v>
      </c>
      <c r="X34" s="8">
        <v>12354.996969999998</v>
      </c>
      <c r="Y34" s="8">
        <v>5933.505720000001</v>
      </c>
      <c r="Z34" s="8">
        <v>5973.4985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6" customFormat="1" ht="15">
      <c r="A35" s="48" t="str">
        <f>HLOOKUP(Chosen,Hide!$A$181:$C$213,32,FALSE)</f>
        <v>Zobowiązania razem</v>
      </c>
      <c r="B35" s="8">
        <v>5389</v>
      </c>
      <c r="C35" s="8">
        <v>9910</v>
      </c>
      <c r="D35" s="8">
        <v>4608</v>
      </c>
      <c r="E35" s="8">
        <v>4100</v>
      </c>
      <c r="F35" s="8">
        <v>4734</v>
      </c>
      <c r="G35" s="8">
        <v>11200</v>
      </c>
      <c r="H35" s="8">
        <v>6442</v>
      </c>
      <c r="I35" s="8">
        <v>3078</v>
      </c>
      <c r="J35" s="8">
        <v>56354</v>
      </c>
      <c r="K35" s="8">
        <v>60127</v>
      </c>
      <c r="L35" s="8">
        <v>55629</v>
      </c>
      <c r="M35" s="8">
        <v>88058</v>
      </c>
      <c r="N35" s="8">
        <v>57104</v>
      </c>
      <c r="O35" s="8">
        <v>63312</v>
      </c>
      <c r="P35" s="8">
        <v>61495.72102</v>
      </c>
      <c r="Q35" s="8">
        <v>53537</v>
      </c>
      <c r="R35" s="8">
        <v>55509</v>
      </c>
      <c r="S35" s="8">
        <v>60634.24251999999</v>
      </c>
      <c r="T35" s="8">
        <v>56211.24726</v>
      </c>
      <c r="U35" s="8">
        <v>57510.20548552586</v>
      </c>
      <c r="V35" s="8">
        <v>64133.86230552585</v>
      </c>
      <c r="W35" s="8">
        <v>27909.983349999995</v>
      </c>
      <c r="X35" s="8">
        <v>25204.825599999996</v>
      </c>
      <c r="Y35" s="8">
        <v>22438.883550000002</v>
      </c>
      <c r="Z35" s="8">
        <v>22544.21671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18" customFormat="1" ht="15">
      <c r="A36" s="18" t="str">
        <f>HLOOKUP(Chosen,Hide!$A$181:$C$213,33,FALSE)</f>
        <v>PASYWA RAZEM</v>
      </c>
      <c r="B36" s="17">
        <v>90089</v>
      </c>
      <c r="C36" s="17">
        <v>93811</v>
      </c>
      <c r="D36" s="17">
        <v>92606</v>
      </c>
      <c r="E36" s="17">
        <v>94892</v>
      </c>
      <c r="F36" s="17">
        <v>100593</v>
      </c>
      <c r="G36" s="17">
        <v>106770</v>
      </c>
      <c r="H36" s="17">
        <v>104772</v>
      </c>
      <c r="I36" s="17">
        <v>102266</v>
      </c>
      <c r="J36" s="17">
        <v>183309</v>
      </c>
      <c r="K36" s="17">
        <v>187942</v>
      </c>
      <c r="L36" s="17">
        <v>186525</v>
      </c>
      <c r="M36" s="17">
        <v>257844</v>
      </c>
      <c r="N36" s="17">
        <v>228696</v>
      </c>
      <c r="O36" s="17">
        <v>224226</v>
      </c>
      <c r="P36" s="17">
        <v>223787.11509</v>
      </c>
      <c r="Q36" s="17">
        <v>215422</v>
      </c>
      <c r="R36" s="17">
        <v>218996</v>
      </c>
      <c r="S36" s="17">
        <v>225979.76812</v>
      </c>
      <c r="T36" s="17">
        <v>222590.75245</v>
      </c>
      <c r="U36" s="17">
        <v>224590.2916865278</v>
      </c>
      <c r="V36" s="17">
        <v>236251.79674552585</v>
      </c>
      <c r="W36" s="17">
        <v>201923.6163</v>
      </c>
      <c r="X36" s="17">
        <v>206945.58454</v>
      </c>
      <c r="Y36" s="17">
        <v>206112.50267</v>
      </c>
      <c r="Z36" s="17">
        <v>217220.71805000002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2:40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2:40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:40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:40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:40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:40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0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0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0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0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2:40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2:40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2:40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2:40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2:40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2:40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2:40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2:40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2:40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2:40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2:40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2:4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2:4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2:4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2:4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2:4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2:4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2:4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2:4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4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2:4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2:4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2:4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2:4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2:4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2:4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2:4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2:4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2:4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2:4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2:4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2:4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2:4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2:4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2:4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2:4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2:4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2:4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2:4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2:4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2:4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2:4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2:4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2:4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2:4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2:4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2:4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2:4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2:4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1:BJ37"/>
  <sheetViews>
    <sheetView showGridLines="0" workbookViewId="0" topLeftCell="A1">
      <pane xSplit="1" ySplit="2" topLeftCell="K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F22" sqref="AF22"/>
    </sheetView>
  </sheetViews>
  <sheetFormatPr defaultColWidth="9.140625" defaultRowHeight="15" outlineLevelCol="1"/>
  <cols>
    <col min="1" max="1" width="64.28125" style="2" customWidth="1"/>
    <col min="2" max="5" width="10.421875" style="2" hidden="1" customWidth="1" outlineLevel="1"/>
    <col min="6" max="6" width="10.421875" style="2" customWidth="1" collapsed="1"/>
    <col min="7" max="10" width="10.421875" style="2" hidden="1" customWidth="1" outlineLevel="1"/>
    <col min="11" max="11" width="10.421875" style="2" customWidth="1" collapsed="1"/>
    <col min="12" max="15" width="10.421875" style="2" hidden="1" customWidth="1" outlineLevel="1"/>
    <col min="16" max="16" width="10.421875" style="2" customWidth="1" collapsed="1"/>
    <col min="17" max="19" width="10.421875" style="2" hidden="1" customWidth="1" outlineLevel="1"/>
    <col min="20" max="20" width="9.140625" style="2" hidden="1" customWidth="1" outlineLevel="1"/>
    <col min="21" max="21" width="9.140625" style="2" customWidth="1" collapsed="1"/>
    <col min="22" max="25" width="9.140625" style="2" hidden="1" customWidth="1" outlineLevel="1"/>
    <col min="26" max="26" width="9.140625" style="2" customWidth="1" collapsed="1"/>
    <col min="27" max="30" width="9.140625" style="2" hidden="1" customWidth="1" outlineLevel="1"/>
    <col min="31" max="31" width="9.140625" style="2" customWidth="1" collapsed="1"/>
    <col min="32" max="32" width="9.140625" style="2" customWidth="1"/>
    <col min="33" max="16384" width="9.140625" style="2" customWidth="1"/>
  </cols>
  <sheetData>
    <row r="1" ht="15">
      <c r="A1" s="3" t="str">
        <f>HLOOKUP(Chosen,Hide!$A$9:$C$11,2,FALSE)</f>
        <v>SPIS TREŚCI</v>
      </c>
    </row>
    <row r="2" spans="1:32" s="32" customFormat="1" ht="15">
      <c r="A2" s="90" t="str">
        <f>HLOOKUP(Chosen,Hide!$A$64:$C$99,36,FALSE)</f>
        <v>tys. PLN</v>
      </c>
      <c r="B2" s="33" t="s">
        <v>3</v>
      </c>
      <c r="C2" s="33" t="s">
        <v>4</v>
      </c>
      <c r="D2" s="33" t="s">
        <v>5</v>
      </c>
      <c r="E2" s="33" t="s">
        <v>6</v>
      </c>
      <c r="F2" s="57">
        <v>2014</v>
      </c>
      <c r="G2" s="33" t="s">
        <v>7</v>
      </c>
      <c r="H2" s="33" t="s">
        <v>8</v>
      </c>
      <c r="I2" s="33" t="s">
        <v>9</v>
      </c>
      <c r="J2" s="33" t="s">
        <v>10</v>
      </c>
      <c r="K2" s="57">
        <v>2015</v>
      </c>
      <c r="L2" s="33" t="s">
        <v>11</v>
      </c>
      <c r="M2" s="33" t="s">
        <v>12</v>
      </c>
      <c r="N2" s="33" t="s">
        <v>13</v>
      </c>
      <c r="O2" s="33" t="s">
        <v>14</v>
      </c>
      <c r="P2" s="57">
        <v>2016</v>
      </c>
      <c r="Q2" s="33" t="s">
        <v>15</v>
      </c>
      <c r="R2" s="33" t="s">
        <v>112</v>
      </c>
      <c r="S2" s="33" t="s">
        <v>322</v>
      </c>
      <c r="T2" s="33" t="s">
        <v>325</v>
      </c>
      <c r="U2" s="57">
        <v>2017</v>
      </c>
      <c r="V2" s="33" t="s">
        <v>328</v>
      </c>
      <c r="W2" s="33" t="s">
        <v>340</v>
      </c>
      <c r="X2" s="33" t="s">
        <v>347</v>
      </c>
      <c r="Y2" s="33" t="s">
        <v>357</v>
      </c>
      <c r="Z2" s="57">
        <v>2018</v>
      </c>
      <c r="AA2" s="33" t="s">
        <v>361</v>
      </c>
      <c r="AB2" s="33" t="s">
        <v>362</v>
      </c>
      <c r="AC2" s="33" t="s">
        <v>363</v>
      </c>
      <c r="AD2" s="33" t="s">
        <v>364</v>
      </c>
      <c r="AE2" s="57">
        <v>2019</v>
      </c>
      <c r="AF2" s="33" t="s">
        <v>386</v>
      </c>
    </row>
    <row r="3" spans="1:62" s="6" customFormat="1" ht="15">
      <c r="A3" s="36" t="str">
        <f>HLOOKUP(Chosen,Hide!$A$157:$C$178,2,FALSE)</f>
        <v>Przychody ze sprzedaży</v>
      </c>
      <c r="B3" s="5">
        <v>5942</v>
      </c>
      <c r="C3" s="5">
        <v>6592</v>
      </c>
      <c r="D3" s="5">
        <v>8366</v>
      </c>
      <c r="E3" s="5">
        <v>8815</v>
      </c>
      <c r="F3" s="19">
        <v>29714</v>
      </c>
      <c r="G3" s="5">
        <v>10932</v>
      </c>
      <c r="H3" s="5">
        <v>12310</v>
      </c>
      <c r="I3" s="5">
        <v>12286</v>
      </c>
      <c r="J3" s="5">
        <v>13803</v>
      </c>
      <c r="K3" s="5">
        <v>49331</v>
      </c>
      <c r="L3" s="5">
        <v>14449</v>
      </c>
      <c r="M3" s="5">
        <v>12455</v>
      </c>
      <c r="N3" s="5">
        <v>12655</v>
      </c>
      <c r="O3" s="5">
        <v>15106</v>
      </c>
      <c r="P3" s="5">
        <v>54664</v>
      </c>
      <c r="Q3" s="5">
        <v>14793</v>
      </c>
      <c r="R3" s="5">
        <v>8416</v>
      </c>
      <c r="S3" s="5">
        <v>9107.50419</v>
      </c>
      <c r="T3" s="5">
        <f>U3-SUM(Q3:S3)</f>
        <v>9881.49581</v>
      </c>
      <c r="U3" s="5">
        <v>42198</v>
      </c>
      <c r="V3" s="5">
        <v>9645</v>
      </c>
      <c r="W3" s="5">
        <v>10409.480619999998</v>
      </c>
      <c r="X3" s="5">
        <v>10536.511320000001</v>
      </c>
      <c r="Y3" s="5">
        <v>12315.031020000002</v>
      </c>
      <c r="Z3" s="5">
        <v>42906.02296</v>
      </c>
      <c r="AA3" s="5">
        <v>13373.32736</v>
      </c>
      <c r="AB3" s="5">
        <v>11344.901530000003</v>
      </c>
      <c r="AC3" s="5">
        <v>12005.450019999993</v>
      </c>
      <c r="AD3" s="5">
        <v>12262.205690000003</v>
      </c>
      <c r="AE3" s="5">
        <v>48985.8846</v>
      </c>
      <c r="AF3" s="5">
        <v>13449.058519999999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5">
      <c r="A4" s="37" t="str">
        <f>HLOOKUP(Chosen,Hide!$A$157:$C$178,3,FALSE)</f>
        <v>Zużycie surowców i materiałów</v>
      </c>
      <c r="B4" s="7">
        <v>-179</v>
      </c>
      <c r="C4" s="7">
        <v>-415</v>
      </c>
      <c r="D4" s="7">
        <v>-1789</v>
      </c>
      <c r="E4" s="7">
        <v>-4868</v>
      </c>
      <c r="F4" s="20">
        <v>-7250</v>
      </c>
      <c r="G4" s="7">
        <v>-1136</v>
      </c>
      <c r="H4" s="7">
        <v>-1530</v>
      </c>
      <c r="I4" s="7">
        <v>-1200</v>
      </c>
      <c r="J4" s="7">
        <v>-1317</v>
      </c>
      <c r="K4" s="7">
        <v>-5183</v>
      </c>
      <c r="L4" s="7">
        <v>-1379</v>
      </c>
      <c r="M4" s="7">
        <v>-463</v>
      </c>
      <c r="N4" s="7">
        <v>-159</v>
      </c>
      <c r="O4" s="7">
        <v>-1336</v>
      </c>
      <c r="P4" s="7">
        <v>-3338</v>
      </c>
      <c r="Q4" s="7">
        <v>-3119</v>
      </c>
      <c r="R4" s="7">
        <v>-430</v>
      </c>
      <c r="S4" s="7">
        <v>-770.4894500000005</v>
      </c>
      <c r="T4" s="7">
        <f aca="true" t="shared" si="0" ref="T4:T21">U4-SUM(Q4:S4)</f>
        <v>-1031.510549999999</v>
      </c>
      <c r="U4" s="7">
        <v>-5351</v>
      </c>
      <c r="V4" s="7">
        <v>-1625</v>
      </c>
      <c r="W4" s="7">
        <v>-1359.1461800000002</v>
      </c>
      <c r="X4" s="7">
        <v>-1351.0073699999994</v>
      </c>
      <c r="Y4" s="7">
        <v>-2099.3537000000006</v>
      </c>
      <c r="Z4" s="7">
        <v>-6433.50725</v>
      </c>
      <c r="AA4" s="7">
        <v>-3012.59213</v>
      </c>
      <c r="AB4" s="7">
        <v>-1049.1413200000002</v>
      </c>
      <c r="AC4" s="7">
        <v>-1033.7902500000005</v>
      </c>
      <c r="AD4" s="7">
        <v>-1109.314339999999</v>
      </c>
      <c r="AE4" s="7">
        <v>-6204.83804</v>
      </c>
      <c r="AF4" s="7">
        <v>-1979.81892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15">
      <c r="A5" s="37" t="str">
        <f>HLOOKUP(Chosen,Hide!$A$157:$C$178,4,FALSE)</f>
        <v>Świadczenia pracownicze</v>
      </c>
      <c r="B5" s="7">
        <v>-1140</v>
      </c>
      <c r="C5" s="7">
        <v>-1291</v>
      </c>
      <c r="D5" s="7">
        <v>-1450</v>
      </c>
      <c r="E5" s="7">
        <v>-1535</v>
      </c>
      <c r="F5" s="20">
        <v>-5416</v>
      </c>
      <c r="G5" s="7">
        <v>-1997</v>
      </c>
      <c r="H5" s="7">
        <v>-2180</v>
      </c>
      <c r="I5" s="7">
        <v>-2153</v>
      </c>
      <c r="J5" s="7">
        <v>-1963</v>
      </c>
      <c r="K5" s="7">
        <v>-8293</v>
      </c>
      <c r="L5" s="7">
        <v>-2966</v>
      </c>
      <c r="M5" s="7">
        <v>-2739</v>
      </c>
      <c r="N5" s="7">
        <v>-3329</v>
      </c>
      <c r="O5" s="7">
        <v>-3423</v>
      </c>
      <c r="P5" s="7">
        <v>-12457</v>
      </c>
      <c r="Q5" s="7">
        <v>-5005</v>
      </c>
      <c r="R5" s="7">
        <v>-4411</v>
      </c>
      <c r="S5" s="7">
        <v>-3636.142450000001</v>
      </c>
      <c r="T5" s="7">
        <f t="shared" si="0"/>
        <v>-4190.857549999999</v>
      </c>
      <c r="U5" s="7">
        <v>-17243</v>
      </c>
      <c r="V5" s="7">
        <v>-3505</v>
      </c>
      <c r="W5" s="7">
        <v>-4197.5301</v>
      </c>
      <c r="X5" s="7">
        <v>-4346.28054</v>
      </c>
      <c r="Y5" s="7">
        <v>-3233.815605525855</v>
      </c>
      <c r="Z5" s="7">
        <v>-15282.626245525855</v>
      </c>
      <c r="AA5" s="7">
        <v>-3667.44815</v>
      </c>
      <c r="AB5" s="7">
        <v>-2686.4485099999997</v>
      </c>
      <c r="AC5" s="7">
        <v>-3608.8514599999994</v>
      </c>
      <c r="AD5" s="7">
        <v>-3187.5101099999993</v>
      </c>
      <c r="AE5" s="7">
        <v>-13150.25823</v>
      </c>
      <c r="AF5" s="7">
        <v>-2941.73463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ht="15">
      <c r="A6" s="37" t="str">
        <f>HLOOKUP(Chosen,Hide!$A$157:$C$178,5,FALSE)</f>
        <v>Amortyzacja</v>
      </c>
      <c r="B6" s="7">
        <v>-138</v>
      </c>
      <c r="C6" s="7">
        <v>-148</v>
      </c>
      <c r="D6" s="7">
        <v>-158</v>
      </c>
      <c r="E6" s="7">
        <v>-160</v>
      </c>
      <c r="F6" s="20">
        <v>-604</v>
      </c>
      <c r="G6" s="7">
        <v>-256</v>
      </c>
      <c r="H6" s="7">
        <v>-401</v>
      </c>
      <c r="I6" s="7">
        <v>-472</v>
      </c>
      <c r="J6" s="7">
        <v>-482</v>
      </c>
      <c r="K6" s="7">
        <v>-1611</v>
      </c>
      <c r="L6" s="7">
        <v>-486</v>
      </c>
      <c r="M6" s="7">
        <v>-493</v>
      </c>
      <c r="N6" s="7">
        <v>-461</v>
      </c>
      <c r="O6" s="7">
        <v>-392</v>
      </c>
      <c r="P6" s="7">
        <v>-1832</v>
      </c>
      <c r="Q6" s="7">
        <v>-444</v>
      </c>
      <c r="R6" s="7">
        <v>-317</v>
      </c>
      <c r="S6" s="7">
        <v>-249.55939</v>
      </c>
      <c r="T6" s="7">
        <f t="shared" si="0"/>
        <v>-256.44061</v>
      </c>
      <c r="U6" s="7">
        <v>-1267</v>
      </c>
      <c r="V6" s="7">
        <v>-275</v>
      </c>
      <c r="W6" s="7">
        <v>-263.7001199999999</v>
      </c>
      <c r="X6" s="7">
        <v>-307.49125000000004</v>
      </c>
      <c r="Y6" s="7">
        <v>-327.25098000000025</v>
      </c>
      <c r="Z6" s="7">
        <v>-1173.4423500000003</v>
      </c>
      <c r="AA6" s="7">
        <v>-610.45863</v>
      </c>
      <c r="AB6" s="7">
        <v>-784.6807</v>
      </c>
      <c r="AC6" s="7">
        <v>-861.3397399999999</v>
      </c>
      <c r="AD6" s="7">
        <v>-858.7871300000002</v>
      </c>
      <c r="AE6" s="7">
        <v>-3115.2662</v>
      </c>
      <c r="AF6" s="7">
        <v>-616.1309399999999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ht="15">
      <c r="A7" s="37" t="str">
        <f>HLOOKUP(Chosen,Hide!$A$157:$C$178,6,FALSE)</f>
        <v>Usługi obce</v>
      </c>
      <c r="B7" s="7">
        <v>-598</v>
      </c>
      <c r="C7" s="7">
        <v>-641</v>
      </c>
      <c r="D7" s="7">
        <v>-903</v>
      </c>
      <c r="E7" s="7">
        <v>163</v>
      </c>
      <c r="F7" s="20">
        <v>-1978</v>
      </c>
      <c r="G7" s="7">
        <v>-666</v>
      </c>
      <c r="H7" s="7">
        <v>-3486</v>
      </c>
      <c r="I7" s="7">
        <v>-4479</v>
      </c>
      <c r="J7" s="7">
        <v>-3562</v>
      </c>
      <c r="K7" s="7">
        <v>-12193</v>
      </c>
      <c r="L7" s="7">
        <v>-15552</v>
      </c>
      <c r="M7" s="7">
        <v>-3339</v>
      </c>
      <c r="N7" s="7">
        <v>-4273</v>
      </c>
      <c r="O7" s="7">
        <v>-2546</v>
      </c>
      <c r="P7" s="7">
        <v>-25710</v>
      </c>
      <c r="Q7" s="7">
        <v>-1238</v>
      </c>
      <c r="R7" s="7">
        <v>-2446</v>
      </c>
      <c r="S7" s="7">
        <v>-1482.5334600000006</v>
      </c>
      <c r="T7" s="7">
        <f t="shared" si="0"/>
        <v>-1579.4665399999994</v>
      </c>
      <c r="U7" s="7">
        <v>-6746</v>
      </c>
      <c r="V7" s="7">
        <v>-1609</v>
      </c>
      <c r="W7" s="7">
        <v>-2431.49493</v>
      </c>
      <c r="X7" s="7">
        <v>-2719.5127700000003</v>
      </c>
      <c r="Y7" s="7">
        <v>-2614.76786</v>
      </c>
      <c r="Z7" s="7">
        <v>-9374.77556</v>
      </c>
      <c r="AA7" s="7">
        <v>-1864.4901499999999</v>
      </c>
      <c r="AB7" s="7">
        <v>-1999.5982500000002</v>
      </c>
      <c r="AC7" s="7">
        <v>-1952.0013000000004</v>
      </c>
      <c r="AD7" s="7">
        <v>-2126.30149</v>
      </c>
      <c r="AE7" s="7">
        <v>-7942.39119</v>
      </c>
      <c r="AF7" s="7">
        <v>-1724.6738500000001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15">
      <c r="A8" s="38" t="str">
        <f>HLOOKUP(Chosen,Hide!$A$157:$C$178,7,FALSE)</f>
        <v>Pozostałe</v>
      </c>
      <c r="B8" s="7">
        <v>-157</v>
      </c>
      <c r="C8" s="7">
        <v>-150</v>
      </c>
      <c r="D8" s="7">
        <v>-236</v>
      </c>
      <c r="E8" s="7">
        <v>-154</v>
      </c>
      <c r="F8" s="20">
        <v>-698</v>
      </c>
      <c r="G8" s="7">
        <v>-94</v>
      </c>
      <c r="H8" s="7">
        <v>-413</v>
      </c>
      <c r="I8" s="7">
        <v>-441</v>
      </c>
      <c r="J8" s="7">
        <v>-218</v>
      </c>
      <c r="K8" s="7">
        <v>-1166</v>
      </c>
      <c r="L8" s="7">
        <v>-176</v>
      </c>
      <c r="M8" s="7">
        <v>-382</v>
      </c>
      <c r="N8" s="7">
        <v>-149</v>
      </c>
      <c r="O8" s="7">
        <v>-187</v>
      </c>
      <c r="P8" s="7">
        <v>-893</v>
      </c>
      <c r="Q8" s="7">
        <v>-158</v>
      </c>
      <c r="R8" s="7">
        <v>-1138</v>
      </c>
      <c r="S8" s="7">
        <v>-279.20741</v>
      </c>
      <c r="T8" s="7">
        <f t="shared" si="0"/>
        <v>-198.79259000000002</v>
      </c>
      <c r="U8" s="7">
        <v>-1774</v>
      </c>
      <c r="V8" s="7">
        <v>-256</v>
      </c>
      <c r="W8" s="7">
        <v>-1099.47519</v>
      </c>
      <c r="X8" s="7">
        <v>-240.70147999999995</v>
      </c>
      <c r="Y8" s="7">
        <v>-347.35015999999996</v>
      </c>
      <c r="Z8" s="7">
        <v>-1942.52683</v>
      </c>
      <c r="AA8" s="7">
        <v>-267.50402</v>
      </c>
      <c r="AB8" s="7">
        <v>-374.78394999999995</v>
      </c>
      <c r="AC8" s="7">
        <v>-219.6964700000001</v>
      </c>
      <c r="AD8" s="7">
        <v>-180.53554999999994</v>
      </c>
      <c r="AE8" s="7">
        <v>-1042.51999</v>
      </c>
      <c r="AF8" s="7">
        <v>-113.48452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s="6" customFormat="1" ht="15">
      <c r="A9" s="39" t="str">
        <f>HLOOKUP(Chosen,Hide!$A$157:$C$178,8,FALSE)</f>
        <v>Koszt własny razem</v>
      </c>
      <c r="B9" s="8">
        <v>-2212</v>
      </c>
      <c r="C9" s="8">
        <v>-2645</v>
      </c>
      <c r="D9" s="8">
        <v>-4536</v>
      </c>
      <c r="E9" s="8">
        <v>-6554</v>
      </c>
      <c r="F9" s="21">
        <v>-15946</v>
      </c>
      <c r="G9" s="8">
        <v>-4149</v>
      </c>
      <c r="H9" s="8">
        <v>-8010</v>
      </c>
      <c r="I9" s="8">
        <v>-8745</v>
      </c>
      <c r="J9" s="8">
        <v>-7542</v>
      </c>
      <c r="K9" s="8">
        <v>-28446</v>
      </c>
      <c r="L9" s="8">
        <v>-20559</v>
      </c>
      <c r="M9" s="8">
        <v>-7416</v>
      </c>
      <c r="N9" s="8">
        <v>-8371</v>
      </c>
      <c r="O9" s="8">
        <v>-7884</v>
      </c>
      <c r="P9" s="8">
        <v>-44230</v>
      </c>
      <c r="Q9" s="8">
        <v>-9964</v>
      </c>
      <c r="R9" s="8">
        <v>-8742</v>
      </c>
      <c r="S9" s="8">
        <v>-6417.932160000003</v>
      </c>
      <c r="T9" s="8">
        <f t="shared" si="0"/>
        <v>-7257.067839999996</v>
      </c>
      <c r="U9" s="8">
        <v>-32381</v>
      </c>
      <c r="V9" s="8">
        <v>-7270</v>
      </c>
      <c r="W9" s="8">
        <v>-9351.34652</v>
      </c>
      <c r="X9" s="8">
        <v>-8964.99341</v>
      </c>
      <c r="Y9" s="8">
        <v>-8621.53830552586</v>
      </c>
      <c r="Z9" s="8">
        <v>-34207.87823552586</v>
      </c>
      <c r="AA9" s="8">
        <v>-9422.49308</v>
      </c>
      <c r="AB9" s="8">
        <v>-6894.65273</v>
      </c>
      <c r="AC9" s="8">
        <v>-7675.679219999999</v>
      </c>
      <c r="AD9" s="8">
        <v>-7462.448620000003</v>
      </c>
      <c r="AE9" s="8">
        <v>-31455.273650000003</v>
      </c>
      <c r="AF9" s="8">
        <v>-7376.19286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5">
      <c r="A10" s="36" t="str">
        <f>HLOOKUP(Chosen,Hide!$A$157:$C$178,9,FALSE)</f>
        <v>Zysk/(strata) na sprzedaży</v>
      </c>
      <c r="B10" s="8">
        <v>3730</v>
      </c>
      <c r="C10" s="8">
        <v>3947</v>
      </c>
      <c r="D10" s="8">
        <v>3830</v>
      </c>
      <c r="E10" s="8">
        <v>2261</v>
      </c>
      <c r="F10" s="21">
        <v>13768</v>
      </c>
      <c r="G10" s="8">
        <v>6783</v>
      </c>
      <c r="H10" s="8">
        <v>4300</v>
      </c>
      <c r="I10" s="8">
        <v>3541</v>
      </c>
      <c r="J10" s="8">
        <v>6261</v>
      </c>
      <c r="K10" s="8">
        <v>20885</v>
      </c>
      <c r="L10" s="8">
        <v>-6110</v>
      </c>
      <c r="M10" s="8">
        <v>5039</v>
      </c>
      <c r="N10" s="8">
        <v>4284</v>
      </c>
      <c r="O10" s="8">
        <v>7222</v>
      </c>
      <c r="P10" s="8">
        <v>10434</v>
      </c>
      <c r="Q10" s="8">
        <v>4829</v>
      </c>
      <c r="R10" s="8">
        <v>-326</v>
      </c>
      <c r="S10" s="8">
        <v>2689.5720299999966</v>
      </c>
      <c r="T10" s="8">
        <f t="shared" si="0"/>
        <v>2624.4279700000034</v>
      </c>
      <c r="U10" s="8">
        <v>9817</v>
      </c>
      <c r="V10" s="8">
        <v>2375</v>
      </c>
      <c r="W10" s="8">
        <v>1058.3940999999993</v>
      </c>
      <c r="X10" s="8">
        <v>1571.5179100000023</v>
      </c>
      <c r="Y10" s="8">
        <v>3693.232714474141</v>
      </c>
      <c r="Z10" s="8">
        <v>8698.144724474143</v>
      </c>
      <c r="AA10" s="8">
        <v>3950.834279999999</v>
      </c>
      <c r="AB10" s="8">
        <v>4450.248800000003</v>
      </c>
      <c r="AC10" s="8">
        <v>4329.490799999994</v>
      </c>
      <c r="AD10" s="8">
        <v>4800.0370699999985</v>
      </c>
      <c r="AE10" s="8">
        <v>17530.610949999995</v>
      </c>
      <c r="AF10" s="8">
        <v>6072.865659999999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15">
      <c r="A11" s="40" t="str">
        <f>HLOOKUP(Chosen,Hide!$A$157:$C$178,10,FALSE)</f>
        <v>Pozostałe przychody operacyjne</v>
      </c>
      <c r="B11" s="7">
        <v>37</v>
      </c>
      <c r="C11" s="7">
        <v>40</v>
      </c>
      <c r="D11" s="7">
        <v>36</v>
      </c>
      <c r="E11" s="7">
        <v>43</v>
      </c>
      <c r="F11" s="20">
        <v>155</v>
      </c>
      <c r="G11" s="7">
        <v>115</v>
      </c>
      <c r="H11" s="7">
        <v>1901</v>
      </c>
      <c r="I11" s="7">
        <v>236</v>
      </c>
      <c r="J11" s="7">
        <v>253</v>
      </c>
      <c r="K11" s="7">
        <v>2506</v>
      </c>
      <c r="L11" s="7">
        <v>387</v>
      </c>
      <c r="M11" s="7">
        <v>1265</v>
      </c>
      <c r="N11" s="7">
        <v>240</v>
      </c>
      <c r="O11" s="7">
        <v>27695</v>
      </c>
      <c r="P11" s="7">
        <v>29587</v>
      </c>
      <c r="Q11" s="7">
        <v>240</v>
      </c>
      <c r="R11" s="7">
        <v>141</v>
      </c>
      <c r="S11" s="7">
        <v>288.75560999999993</v>
      </c>
      <c r="T11" s="7">
        <f t="shared" si="0"/>
        <v>79.24439000000007</v>
      </c>
      <c r="U11" s="7">
        <v>749</v>
      </c>
      <c r="V11" s="7">
        <v>87</v>
      </c>
      <c r="W11" s="7">
        <v>79.12812</v>
      </c>
      <c r="X11" s="7">
        <v>88.77271999999999</v>
      </c>
      <c r="Y11" s="7">
        <v>81.42838000000003</v>
      </c>
      <c r="Z11" s="7">
        <v>336.32922</v>
      </c>
      <c r="AA11" s="7">
        <v>524.2966</v>
      </c>
      <c r="AB11" s="7">
        <v>81.15834000000007</v>
      </c>
      <c r="AC11" s="7">
        <v>83.56875999999988</v>
      </c>
      <c r="AD11" s="7">
        <v>86.92624999999998</v>
      </c>
      <c r="AE11" s="7">
        <v>775.94995</v>
      </c>
      <c r="AF11" s="7">
        <v>0.6692800000000001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ht="15">
      <c r="A12" s="40" t="str">
        <f>HLOOKUP(Chosen,Hide!$A$157:$C$178,11,FALSE)</f>
        <v>Pozostałe koszty operacyjne</v>
      </c>
      <c r="B12" s="7">
        <v>-1</v>
      </c>
      <c r="C12" s="7">
        <v>-24</v>
      </c>
      <c r="D12" s="7">
        <v>0</v>
      </c>
      <c r="E12" s="7">
        <v>-6</v>
      </c>
      <c r="F12" s="20">
        <v>-31</v>
      </c>
      <c r="G12" s="7">
        <v>-2228</v>
      </c>
      <c r="H12" s="7">
        <v>1</v>
      </c>
      <c r="I12" s="7">
        <v>-1</v>
      </c>
      <c r="J12" s="7">
        <v>-35</v>
      </c>
      <c r="K12" s="7">
        <v>-2263</v>
      </c>
      <c r="L12" s="7">
        <v>-486</v>
      </c>
      <c r="M12" s="7">
        <v>-169</v>
      </c>
      <c r="N12" s="7">
        <v>-28</v>
      </c>
      <c r="O12" s="7">
        <v>127</v>
      </c>
      <c r="P12" s="7">
        <v>-556</v>
      </c>
      <c r="Q12" s="7">
        <v>-18</v>
      </c>
      <c r="R12" s="7">
        <v>-155</v>
      </c>
      <c r="S12" s="7">
        <v>-93.82149999999996</v>
      </c>
      <c r="T12" s="7">
        <f t="shared" si="0"/>
        <v>-148.17850000000004</v>
      </c>
      <c r="U12" s="7">
        <v>-415</v>
      </c>
      <c r="V12" s="7">
        <v>-115</v>
      </c>
      <c r="W12" s="7">
        <v>-263.46332</v>
      </c>
      <c r="X12" s="7">
        <v>-11.554719999999975</v>
      </c>
      <c r="Y12" s="7">
        <v>-816.3073800272964</v>
      </c>
      <c r="Z12" s="7">
        <v>-1206.3254200272963</v>
      </c>
      <c r="AA12" s="7">
        <v>-30.834419999999998</v>
      </c>
      <c r="AB12" s="7">
        <v>-141.17993</v>
      </c>
      <c r="AC12" s="7">
        <v>-74.34414999999998</v>
      </c>
      <c r="AD12" s="7">
        <v>-124.16618</v>
      </c>
      <c r="AE12" s="7">
        <v>-370.52468</v>
      </c>
      <c r="AF12" s="7">
        <v>-13.505889999999999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s="6" customFormat="1" ht="15">
      <c r="A13" s="39" t="str">
        <f>HLOOKUP(Chosen,Hide!$A$157:$C$178,12,FALSE)</f>
        <v>Zysk/(strata) na działalności operacyjnej</v>
      </c>
      <c r="B13" s="8">
        <v>3766</v>
      </c>
      <c r="C13" s="8">
        <v>3963</v>
      </c>
      <c r="D13" s="8">
        <v>3866</v>
      </c>
      <c r="E13" s="8">
        <v>2298</v>
      </c>
      <c r="F13" s="21">
        <v>13892</v>
      </c>
      <c r="G13" s="8">
        <v>4670</v>
      </c>
      <c r="H13" s="8">
        <v>6202</v>
      </c>
      <c r="I13" s="8">
        <v>3776.000000000002</v>
      </c>
      <c r="J13" s="8">
        <v>6479</v>
      </c>
      <c r="K13" s="8">
        <v>21128</v>
      </c>
      <c r="L13" s="8">
        <v>-6209</v>
      </c>
      <c r="M13" s="8">
        <v>6135</v>
      </c>
      <c r="N13" s="8">
        <v>4496</v>
      </c>
      <c r="O13" s="8">
        <v>35044</v>
      </c>
      <c r="P13" s="8">
        <v>39465</v>
      </c>
      <c r="Q13" s="8">
        <v>5051</v>
      </c>
      <c r="R13" s="8">
        <v>-340</v>
      </c>
      <c r="S13" s="8">
        <v>2884.506139999997</v>
      </c>
      <c r="T13" s="8">
        <f t="shared" si="0"/>
        <v>2555.493860000003</v>
      </c>
      <c r="U13" s="8">
        <v>10151</v>
      </c>
      <c r="V13" s="8">
        <v>2347</v>
      </c>
      <c r="W13" s="8">
        <v>874.0588999999993</v>
      </c>
      <c r="X13" s="8">
        <v>1648.7359100000021</v>
      </c>
      <c r="Y13" s="8">
        <v>2958.3537144468446</v>
      </c>
      <c r="Z13" s="8">
        <v>7828.148524446846</v>
      </c>
      <c r="AA13" s="8">
        <v>4444.296459999999</v>
      </c>
      <c r="AB13" s="8">
        <v>4390.227210000003</v>
      </c>
      <c r="AC13" s="8">
        <v>4338.865409999994</v>
      </c>
      <c r="AD13" s="8">
        <v>4762.647139999997</v>
      </c>
      <c r="AE13" s="8">
        <v>17936.036219999995</v>
      </c>
      <c r="AF13" s="8">
        <v>6060.029049999998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15">
      <c r="A14" s="40" t="str">
        <f>HLOOKUP(Chosen,Hide!$A$157:$C$178,13,FALSE)</f>
        <v>Przychody finansowe</v>
      </c>
      <c r="B14" s="7">
        <v>930</v>
      </c>
      <c r="C14" s="7">
        <v>839</v>
      </c>
      <c r="D14" s="7">
        <v>1168</v>
      </c>
      <c r="E14" s="7">
        <v>1174</v>
      </c>
      <c r="F14" s="20">
        <v>4111</v>
      </c>
      <c r="G14" s="7">
        <v>1652</v>
      </c>
      <c r="H14" s="7">
        <v>259</v>
      </c>
      <c r="I14" s="7">
        <v>491</v>
      </c>
      <c r="J14" s="7">
        <v>-11</v>
      </c>
      <c r="K14" s="7">
        <v>2390</v>
      </c>
      <c r="L14" s="7">
        <v>52</v>
      </c>
      <c r="M14" s="7">
        <v>2927</v>
      </c>
      <c r="N14" s="7">
        <v>-1194</v>
      </c>
      <c r="O14" s="7">
        <v>6240</v>
      </c>
      <c r="P14" s="7">
        <v>8025</v>
      </c>
      <c r="Q14" s="7">
        <v>1216</v>
      </c>
      <c r="R14" s="7">
        <v>987</v>
      </c>
      <c r="S14" s="7">
        <v>685.80456</v>
      </c>
      <c r="T14" s="7">
        <f t="shared" si="0"/>
        <v>990.19544</v>
      </c>
      <c r="U14" s="7">
        <v>3879</v>
      </c>
      <c r="V14" s="7">
        <v>871</v>
      </c>
      <c r="W14" s="7">
        <v>7515.475680000001</v>
      </c>
      <c r="X14" s="7">
        <v>-558.4877400000009</v>
      </c>
      <c r="Y14" s="7">
        <v>1161.9985199999992</v>
      </c>
      <c r="Z14" s="7">
        <v>8989.98646</v>
      </c>
      <c r="AA14" s="7">
        <v>2573.76236</v>
      </c>
      <c r="AB14" s="7">
        <v>-806.6023600000002</v>
      </c>
      <c r="AC14" s="7">
        <v>4764.380719999999</v>
      </c>
      <c r="AD14" s="7">
        <v>-2930.429279999999</v>
      </c>
      <c r="AE14" s="7">
        <v>3601.11144</v>
      </c>
      <c r="AF14" s="7">
        <v>7529.71388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ht="15">
      <c r="A15" s="40" t="str">
        <f>HLOOKUP(Chosen,Hide!$A$157:$C$178,14,FALSE)</f>
        <v>Koszty finansowe</v>
      </c>
      <c r="B15" s="7">
        <v>-24</v>
      </c>
      <c r="C15" s="7">
        <v>-15</v>
      </c>
      <c r="D15" s="7">
        <v>37</v>
      </c>
      <c r="E15" s="7">
        <v>-1</v>
      </c>
      <c r="F15" s="20">
        <v>-2</v>
      </c>
      <c r="G15" s="7">
        <v>-38</v>
      </c>
      <c r="H15" s="7">
        <v>21</v>
      </c>
      <c r="I15" s="7">
        <v>-844</v>
      </c>
      <c r="J15" s="7">
        <v>-5369</v>
      </c>
      <c r="K15" s="7">
        <v>-6229</v>
      </c>
      <c r="L15" s="7">
        <v>-634</v>
      </c>
      <c r="M15" s="7">
        <v>-582</v>
      </c>
      <c r="N15" s="7">
        <v>-457</v>
      </c>
      <c r="O15" s="7">
        <v>-692</v>
      </c>
      <c r="P15" s="7">
        <v>-2364</v>
      </c>
      <c r="Q15" s="7">
        <v>-5249</v>
      </c>
      <c r="R15" s="7">
        <v>-6105</v>
      </c>
      <c r="S15" s="7">
        <v>-1820.595409999998</v>
      </c>
      <c r="T15" s="7">
        <f t="shared" si="0"/>
        <v>-4456.404590000002</v>
      </c>
      <c r="U15" s="7">
        <v>-17631</v>
      </c>
      <c r="V15" s="7">
        <v>-2096</v>
      </c>
      <c r="W15" s="7">
        <v>-683.793590000002</v>
      </c>
      <c r="X15" s="7">
        <v>-692.5345799999999</v>
      </c>
      <c r="Y15" s="7">
        <v>385.944390000001</v>
      </c>
      <c r="Z15" s="7">
        <v>-3086.383780000001</v>
      </c>
      <c r="AA15" s="7">
        <v>-729.0893800000002</v>
      </c>
      <c r="AB15" s="7">
        <v>-1035.1106199999997</v>
      </c>
      <c r="AC15" s="7">
        <v>440.54859000000033</v>
      </c>
      <c r="AD15" s="7">
        <v>-114.83568000000082</v>
      </c>
      <c r="AE15" s="7">
        <v>-1438.4870900000003</v>
      </c>
      <c r="AF15" s="7">
        <v>-122.5107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s="6" customFormat="1" ht="15">
      <c r="A16" s="36" t="str">
        <f>HLOOKUP(Chosen,Hide!$A$157:$C$178,15,FALSE)</f>
        <v>Przychody/(koszty) finansowe netto</v>
      </c>
      <c r="B16" s="8">
        <v>906</v>
      </c>
      <c r="C16" s="8">
        <v>824</v>
      </c>
      <c r="D16" s="8">
        <v>1205</v>
      </c>
      <c r="E16" s="8">
        <v>1173</v>
      </c>
      <c r="F16" s="21">
        <v>4109</v>
      </c>
      <c r="G16" s="8">
        <v>1614</v>
      </c>
      <c r="H16" s="8">
        <v>280</v>
      </c>
      <c r="I16" s="8">
        <v>-353</v>
      </c>
      <c r="J16" s="8">
        <v>-5380</v>
      </c>
      <c r="K16" s="8">
        <v>-3839</v>
      </c>
      <c r="L16" s="8">
        <v>-582</v>
      </c>
      <c r="M16" s="8">
        <v>2345</v>
      </c>
      <c r="N16" s="8">
        <v>-1651</v>
      </c>
      <c r="O16" s="8">
        <v>5548</v>
      </c>
      <c r="P16" s="8">
        <v>5661</v>
      </c>
      <c r="Q16" s="8">
        <v>-4033</v>
      </c>
      <c r="R16" s="8">
        <v>-5118</v>
      </c>
      <c r="S16" s="8">
        <v>-1134.790849999998</v>
      </c>
      <c r="T16" s="8">
        <f t="shared" si="0"/>
        <v>-3466.2091500000024</v>
      </c>
      <c r="U16" s="8">
        <v>-13752</v>
      </c>
      <c r="V16" s="8">
        <v>-1225</v>
      </c>
      <c r="W16" s="8">
        <v>6831.432089999999</v>
      </c>
      <c r="X16" s="8">
        <v>-1251.022320000001</v>
      </c>
      <c r="Y16" s="8">
        <v>1548.1929100000007</v>
      </c>
      <c r="Z16" s="8">
        <v>5903.602679999999</v>
      </c>
      <c r="AA16" s="8">
        <v>1844.6729799999998</v>
      </c>
      <c r="AB16" s="8">
        <v>-1841.7129799999998</v>
      </c>
      <c r="AC16" s="8">
        <v>5204.9293099999995</v>
      </c>
      <c r="AD16" s="8">
        <v>-3045.2649599999995</v>
      </c>
      <c r="AE16" s="8">
        <v>2162.62435</v>
      </c>
      <c r="AF16" s="8">
        <v>7407.20318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5">
      <c r="A17" s="36" t="str">
        <f>HLOOKUP(Chosen,Hide!$A$157:$C$178,16,FALSE)</f>
        <v>Zysk/(strata) przed opodatkowaniem</v>
      </c>
      <c r="B17" s="8">
        <v>4672</v>
      </c>
      <c r="C17" s="8">
        <v>4787</v>
      </c>
      <c r="D17" s="8">
        <v>5071</v>
      </c>
      <c r="E17" s="8">
        <v>3471</v>
      </c>
      <c r="F17" s="21">
        <v>18001</v>
      </c>
      <c r="G17" s="8">
        <v>6284</v>
      </c>
      <c r="H17" s="8">
        <v>6482</v>
      </c>
      <c r="I17" s="8">
        <v>3423</v>
      </c>
      <c r="J17" s="8">
        <v>1099</v>
      </c>
      <c r="K17" s="8">
        <v>17289</v>
      </c>
      <c r="L17" s="8">
        <v>-6791</v>
      </c>
      <c r="M17" s="8">
        <v>8480</v>
      </c>
      <c r="N17" s="8">
        <v>2845</v>
      </c>
      <c r="O17" s="8">
        <v>40592</v>
      </c>
      <c r="P17" s="8">
        <v>45126</v>
      </c>
      <c r="Q17" s="8">
        <v>1018</v>
      </c>
      <c r="R17" s="8">
        <v>-5458</v>
      </c>
      <c r="S17" s="8">
        <v>1749.7152899999987</v>
      </c>
      <c r="T17" s="8">
        <f t="shared" si="0"/>
        <v>-910.7152899999987</v>
      </c>
      <c r="U17" s="8">
        <v>-3601</v>
      </c>
      <c r="V17" s="8">
        <v>1122</v>
      </c>
      <c r="W17" s="8">
        <v>7705.440989999998</v>
      </c>
      <c r="X17" s="8">
        <v>397.9135900000012</v>
      </c>
      <c r="Y17" s="8">
        <v>4506.396624446845</v>
      </c>
      <c r="Z17" s="8">
        <v>13731.751204446846</v>
      </c>
      <c r="AA17" s="8">
        <v>6288.969439999999</v>
      </c>
      <c r="AB17" s="8">
        <v>2548.454230000003</v>
      </c>
      <c r="AC17" s="8">
        <v>9543.994719999995</v>
      </c>
      <c r="AD17" s="8">
        <v>1717.2421799999975</v>
      </c>
      <c r="AE17" s="8">
        <v>20098.660569999996</v>
      </c>
      <c r="AF17" s="8">
        <v>13467.232229999998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">
      <c r="A18" s="37" t="str">
        <f>HLOOKUP(Chosen,Hide!$A$157:$C$178,17,FALSE)</f>
        <v>Podatek dochodowy</v>
      </c>
      <c r="B18" s="7">
        <v>-899</v>
      </c>
      <c r="C18" s="7">
        <v>-924</v>
      </c>
      <c r="D18" s="7">
        <v>-974</v>
      </c>
      <c r="E18" s="7">
        <v>-677</v>
      </c>
      <c r="F18" s="20">
        <v>-3475</v>
      </c>
      <c r="G18" s="7">
        <v>-1217</v>
      </c>
      <c r="H18" s="7">
        <v>-1242</v>
      </c>
      <c r="I18" s="7">
        <v>-662</v>
      </c>
      <c r="J18" s="7">
        <v>-242</v>
      </c>
      <c r="K18" s="7">
        <v>-3364</v>
      </c>
      <c r="L18" s="7">
        <v>731</v>
      </c>
      <c r="M18" s="7">
        <v>-1171</v>
      </c>
      <c r="N18" s="7">
        <v>-557</v>
      </c>
      <c r="O18" s="7">
        <v>-2495</v>
      </c>
      <c r="P18" s="7">
        <v>-3492</v>
      </c>
      <c r="Q18" s="7">
        <v>-217</v>
      </c>
      <c r="R18" s="7">
        <v>989</v>
      </c>
      <c r="S18" s="7">
        <v>-372.502</v>
      </c>
      <c r="T18" s="7">
        <f t="shared" si="0"/>
        <v>371.502</v>
      </c>
      <c r="U18" s="7">
        <v>771</v>
      </c>
      <c r="V18" s="7">
        <v>-262</v>
      </c>
      <c r="W18" s="7">
        <v>-1467.5110000000002</v>
      </c>
      <c r="X18" s="7">
        <v>-106.49399999999983</v>
      </c>
      <c r="Y18" s="7">
        <v>-571.4733534449006</v>
      </c>
      <c r="Z18" s="7">
        <v>-2407.4783534449007</v>
      </c>
      <c r="AA18" s="7">
        <v>-1250.895</v>
      </c>
      <c r="AB18" s="7">
        <v>-652.3499999999999</v>
      </c>
      <c r="AC18" s="7">
        <v>-1817.2800000000002</v>
      </c>
      <c r="AD18" s="7">
        <v>215.59799999999996</v>
      </c>
      <c r="AE18" s="7">
        <v>-3504.927</v>
      </c>
      <c r="AF18" s="7">
        <v>-2464.1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s="6" customFormat="1" ht="15">
      <c r="A19" s="36" t="str">
        <f>HLOOKUP(Chosen,Hide!$A$157:$C$178,18,FALSE)</f>
        <v>Zysk/(strata) netto z działalności kontynuowanej</v>
      </c>
      <c r="B19" s="8">
        <v>3773</v>
      </c>
      <c r="C19" s="8">
        <v>3863</v>
      </c>
      <c r="D19" s="8">
        <v>4097</v>
      </c>
      <c r="E19" s="8">
        <v>2794</v>
      </c>
      <c r="F19" s="21">
        <v>14526</v>
      </c>
      <c r="G19" s="8">
        <v>5067</v>
      </c>
      <c r="H19" s="8">
        <v>5240</v>
      </c>
      <c r="I19" s="8">
        <v>2761.000000000002</v>
      </c>
      <c r="J19" s="8">
        <v>857</v>
      </c>
      <c r="K19" s="8">
        <v>13925</v>
      </c>
      <c r="L19" s="8">
        <v>-6060</v>
      </c>
      <c r="M19" s="8">
        <v>7309</v>
      </c>
      <c r="N19" s="8">
        <v>2288.0000000000027</v>
      </c>
      <c r="O19" s="8">
        <v>38097</v>
      </c>
      <c r="P19" s="8">
        <v>41634</v>
      </c>
      <c r="Q19" s="8">
        <v>801</v>
      </c>
      <c r="R19" s="8">
        <v>-4469</v>
      </c>
      <c r="S19" s="8">
        <v>1377.2132899999988</v>
      </c>
      <c r="T19" s="8">
        <f t="shared" si="0"/>
        <v>-539.2132899999988</v>
      </c>
      <c r="U19" s="8">
        <v>-2830</v>
      </c>
      <c r="V19" s="8">
        <v>860</v>
      </c>
      <c r="W19" s="8">
        <v>6237.429989999998</v>
      </c>
      <c r="X19" s="8">
        <v>291.91959000000134</v>
      </c>
      <c r="Y19" s="8">
        <v>3935.2232710019443</v>
      </c>
      <c r="Z19" s="8">
        <v>11324.572851001943</v>
      </c>
      <c r="AA19" s="8">
        <v>5038.0744399999985</v>
      </c>
      <c r="AB19" s="8">
        <v>1896.104230000003</v>
      </c>
      <c r="AC19" s="8">
        <v>7726.7147199999945</v>
      </c>
      <c r="AD19" s="8">
        <v>1932.840180000001</v>
      </c>
      <c r="AE19" s="8">
        <v>16593.733569999997</v>
      </c>
      <c r="AF19" s="8">
        <v>11003.132229999997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5">
      <c r="A20" s="37" t="str">
        <f>HLOOKUP(Chosen,Hide!$A$157:$C$178,19,FALSE)</f>
        <v>Inne całkowite dochody netto za okres sprawozdawczy</v>
      </c>
      <c r="B20" s="7">
        <v>0</v>
      </c>
      <c r="C20" s="7">
        <v>0</v>
      </c>
      <c r="D20" s="7">
        <v>0</v>
      </c>
      <c r="E20" s="7">
        <v>0</v>
      </c>
      <c r="F20" s="20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f t="shared" si="0"/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s="6" customFormat="1" ht="15">
      <c r="A21" s="36" t="str">
        <f>HLOOKUP(Chosen,Hide!$A$157:$C$178,20,FALSE)</f>
        <v>Całkowite dochody ogółem za okres sprawozdawczy</v>
      </c>
      <c r="B21" s="8">
        <v>3773</v>
      </c>
      <c r="C21" s="8">
        <v>3863</v>
      </c>
      <c r="D21" s="8">
        <v>4097</v>
      </c>
      <c r="E21" s="8">
        <v>2794</v>
      </c>
      <c r="F21" s="21">
        <v>14526</v>
      </c>
      <c r="G21" s="8">
        <v>5067</v>
      </c>
      <c r="H21" s="8">
        <v>5240</v>
      </c>
      <c r="I21" s="8">
        <v>2761.000000000002</v>
      </c>
      <c r="J21" s="8">
        <v>857</v>
      </c>
      <c r="K21" s="8">
        <v>13925</v>
      </c>
      <c r="L21" s="8">
        <v>-6060</v>
      </c>
      <c r="M21" s="8">
        <v>7309</v>
      </c>
      <c r="N21" s="8">
        <v>2288.0000000000027</v>
      </c>
      <c r="O21" s="8">
        <v>38097</v>
      </c>
      <c r="P21" s="8">
        <v>41634</v>
      </c>
      <c r="Q21" s="8">
        <v>801</v>
      </c>
      <c r="R21" s="8">
        <v>-4469</v>
      </c>
      <c r="S21" s="8">
        <v>1377.2132899999988</v>
      </c>
      <c r="T21" s="8">
        <f t="shared" si="0"/>
        <v>-539.2132899999988</v>
      </c>
      <c r="U21" s="8">
        <v>-2830</v>
      </c>
      <c r="V21" s="8">
        <v>860</v>
      </c>
      <c r="W21" s="8">
        <v>6237.429989999998</v>
      </c>
      <c r="X21" s="8">
        <v>291.91959000000134</v>
      </c>
      <c r="Y21" s="8">
        <v>3935.2232710019443</v>
      </c>
      <c r="Z21" s="8">
        <v>11324.572851001943</v>
      </c>
      <c r="AA21" s="8">
        <v>5038.0744399999985</v>
      </c>
      <c r="AB21" s="8">
        <v>1896.104230000003</v>
      </c>
      <c r="AC21" s="8">
        <v>7726.7147199999945</v>
      </c>
      <c r="AD21" s="8">
        <v>1932.840180000001</v>
      </c>
      <c r="AE21" s="8">
        <v>16593.733569999997</v>
      </c>
      <c r="AF21" s="8">
        <v>11003.132229999997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15">
      <c r="A22" s="53" t="str">
        <f>HLOOKUP(Chosen,Hide!$A$157:$C$178,21,FALSE)</f>
        <v xml:space="preserve">Podstawowy zysk/(strata) na jedną akcję w złotych </v>
      </c>
      <c r="B22" s="10">
        <v>1.1</v>
      </c>
      <c r="C22" s="10">
        <v>1.1</v>
      </c>
      <c r="D22" s="10">
        <v>1.2</v>
      </c>
      <c r="E22" s="10">
        <v>0.8</v>
      </c>
      <c r="F22" s="22">
        <v>4.2</v>
      </c>
      <c r="G22" s="10">
        <v>1.5</v>
      </c>
      <c r="H22" s="10">
        <v>1.5</v>
      </c>
      <c r="I22" s="10">
        <v>0.8</v>
      </c>
      <c r="J22" s="10">
        <v>0.3</v>
      </c>
      <c r="K22" s="10">
        <v>4</v>
      </c>
      <c r="L22" s="10">
        <v>-1.8</v>
      </c>
      <c r="M22" s="10">
        <v>2.1</v>
      </c>
      <c r="N22" s="10">
        <v>0.6</v>
      </c>
      <c r="O22" s="10">
        <v>10.6</v>
      </c>
      <c r="P22" s="10">
        <v>11.5</v>
      </c>
      <c r="Q22" s="10">
        <v>0.2</v>
      </c>
      <c r="R22" s="10">
        <v>-1.2</v>
      </c>
      <c r="S22" s="10">
        <v>0.38181682561685576</v>
      </c>
      <c r="T22" s="10">
        <v>-0.15</v>
      </c>
      <c r="U22" s="10">
        <v>-0.78</v>
      </c>
      <c r="V22" s="10">
        <v>0.24</v>
      </c>
      <c r="W22" s="10">
        <v>1.729256997504851</v>
      </c>
      <c r="X22" s="10">
        <v>0.08093140837260919</v>
      </c>
      <c r="Y22" s="10">
        <v>1.0912987440382542</v>
      </c>
      <c r="Z22" s="10">
        <v>3.1396098838375224</v>
      </c>
      <c r="AA22" s="10">
        <v>1.3967492209592456</v>
      </c>
      <c r="AB22" s="10">
        <v>0.5256734765733305</v>
      </c>
      <c r="AC22" s="10">
        <v>2.142144363737176</v>
      </c>
      <c r="AD22" s="10">
        <v>0.5359285306691263</v>
      </c>
      <c r="AE22" s="10">
        <v>4.600425164957027</v>
      </c>
      <c r="AF22" s="10">
        <v>3.0504941031327966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>
      <c r="A23" s="53" t="str">
        <f>HLOOKUP(Chosen,Hide!$A$157:$C$178,22,FALSE)</f>
        <v xml:space="preserve">Rozwodniony zysk/(strata) na jedną akcję w złotych </v>
      </c>
      <c r="B23" s="10">
        <v>1.1</v>
      </c>
      <c r="C23" s="10">
        <v>1.1</v>
      </c>
      <c r="D23" s="10">
        <v>1.2</v>
      </c>
      <c r="E23" s="10">
        <v>0.8</v>
      </c>
      <c r="F23" s="22">
        <v>4.2</v>
      </c>
      <c r="G23" s="10">
        <v>1.5</v>
      </c>
      <c r="H23" s="10">
        <v>1.5</v>
      </c>
      <c r="I23" s="10">
        <v>0.8</v>
      </c>
      <c r="J23" s="10">
        <v>0.3</v>
      </c>
      <c r="K23" s="10">
        <v>4</v>
      </c>
      <c r="L23" s="10">
        <v>-1.8</v>
      </c>
      <c r="M23" s="10">
        <v>2.1</v>
      </c>
      <c r="N23" s="10">
        <v>0.6</v>
      </c>
      <c r="O23" s="10">
        <v>10.6</v>
      </c>
      <c r="P23" s="10">
        <v>11.5</v>
      </c>
      <c r="Q23" s="10">
        <v>0.2</v>
      </c>
      <c r="R23" s="10">
        <v>-1.2</v>
      </c>
      <c r="S23" s="10">
        <v>0.37957536311771317</v>
      </c>
      <c r="T23" s="10">
        <v>-0.15</v>
      </c>
      <c r="U23" s="10">
        <v>-0.78</v>
      </c>
      <c r="V23" s="10">
        <v>0.24</v>
      </c>
      <c r="W23" s="10">
        <v>1.729256997504851</v>
      </c>
      <c r="X23" s="10">
        <v>0.08093140837260919</v>
      </c>
      <c r="Y23" s="10">
        <v>1.0912987440382542</v>
      </c>
      <c r="Z23" s="10">
        <v>3.1396098838375224</v>
      </c>
      <c r="AA23" s="10">
        <v>1.3967492209592456</v>
      </c>
      <c r="AB23" s="10">
        <v>0.5256734765733305</v>
      </c>
      <c r="AC23" s="10">
        <v>2.142144363737176</v>
      </c>
      <c r="AD23" s="10">
        <v>0.5359285306691263</v>
      </c>
      <c r="AE23" s="10">
        <v>4.600425164957027</v>
      </c>
      <c r="AF23" s="10">
        <v>3.0504941031327966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2:62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T3:T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A1:BH275"/>
  <sheetViews>
    <sheetView showGridLines="0" workbookViewId="0" topLeftCell="A1">
      <pane xSplit="1" ySplit="2" topLeftCell="E31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Q47" sqref="Q47"/>
    </sheetView>
  </sheetViews>
  <sheetFormatPr defaultColWidth="9.140625" defaultRowHeight="15"/>
  <cols>
    <col min="1" max="1" width="61.140625" style="2" customWidth="1"/>
    <col min="2" max="16" width="9.140625" style="2" customWidth="1"/>
    <col min="17" max="17" width="9.28125" style="2" customWidth="1"/>
    <col min="18" max="16384" width="9.140625" style="2" customWidth="1"/>
  </cols>
  <sheetData>
    <row r="1" ht="15">
      <c r="A1" s="3" t="str">
        <f>HLOOKUP(Chosen,Hide!$A$9:$C$11,2,FALSE)</f>
        <v>SPIS TREŚCI</v>
      </c>
    </row>
    <row r="2" spans="1:17" s="32" customFormat="1" ht="15">
      <c r="A2" s="90" t="str">
        <f>HLOOKUP(Chosen,Hide!$A$64:$C$99,36,FALSE)</f>
        <v>tys. PLN</v>
      </c>
      <c r="B2" s="57">
        <v>2014</v>
      </c>
      <c r="C2" s="57">
        <v>2015</v>
      </c>
      <c r="D2" s="57">
        <v>2016</v>
      </c>
      <c r="E2" s="33" t="s">
        <v>15</v>
      </c>
      <c r="F2" s="33" t="s">
        <v>323</v>
      </c>
      <c r="G2" s="33" t="s">
        <v>324</v>
      </c>
      <c r="H2" s="57">
        <v>2017</v>
      </c>
      <c r="I2" s="33" t="s">
        <v>328</v>
      </c>
      <c r="J2" s="33" t="s">
        <v>342</v>
      </c>
      <c r="K2" s="33" t="s">
        <v>350</v>
      </c>
      <c r="L2" s="57">
        <v>2018</v>
      </c>
      <c r="M2" s="33" t="s">
        <v>361</v>
      </c>
      <c r="N2" s="33" t="s">
        <v>365</v>
      </c>
      <c r="O2" s="33" t="s">
        <v>366</v>
      </c>
      <c r="P2" s="57">
        <v>2019</v>
      </c>
      <c r="Q2" s="33" t="s">
        <v>386</v>
      </c>
    </row>
    <row r="3" spans="1:60" ht="15">
      <c r="A3" s="49" t="str">
        <f>HLOOKUP(Chosen,Hide!$A$219:$C$266,2,FALSE)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s="6" customFormat="1" ht="15">
      <c r="A4" s="50" t="str">
        <f>HLOOKUP(Chosen,Hide!$A$219:$C$266,3,FALSE)</f>
        <v>Zysk/(strata) netto za okres sprawozdawczy</v>
      </c>
      <c r="B4" s="5">
        <v>14526</v>
      </c>
      <c r="C4" s="5">
        <v>13925</v>
      </c>
      <c r="D4" s="5">
        <v>41634</v>
      </c>
      <c r="E4" s="5">
        <v>801</v>
      </c>
      <c r="F4" s="5">
        <v>-3668</v>
      </c>
      <c r="G4" s="5">
        <v>-2290.6244299999976</v>
      </c>
      <c r="H4" s="5">
        <v>-2830</v>
      </c>
      <c r="I4" s="5">
        <v>860</v>
      </c>
      <c r="J4" s="5">
        <v>7097.4622500000005</v>
      </c>
      <c r="K4" s="5">
        <v>7389.101840000004</v>
      </c>
      <c r="L4" s="5">
        <v>11324.572851001943</v>
      </c>
      <c r="M4" s="5">
        <v>5038.0744399999985</v>
      </c>
      <c r="N4" s="5">
        <v>6934.178670000002</v>
      </c>
      <c r="O4" s="5">
        <v>14661.023389999993</v>
      </c>
      <c r="P4" s="5">
        <v>16593.733569999997</v>
      </c>
      <c r="Q4" s="5">
        <v>11003.132229999997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5">
      <c r="A5" s="54" t="str">
        <f>HLOOKUP(Chosen,Hide!$A$219:$C$266,4,FALSE)</f>
        <v>Amortyzacja rzeczowych aktywów trwałych</v>
      </c>
      <c r="B5" s="7">
        <v>132</v>
      </c>
      <c r="C5" s="7">
        <v>243</v>
      </c>
      <c r="D5" s="7">
        <v>282</v>
      </c>
      <c r="E5" s="7">
        <v>79</v>
      </c>
      <c r="F5" s="7">
        <v>163</v>
      </c>
      <c r="G5" s="7">
        <v>247.10595999999998</v>
      </c>
      <c r="H5" s="7">
        <v>336</v>
      </c>
      <c r="I5" s="7">
        <v>107</v>
      </c>
      <c r="J5" s="7">
        <v>215.08218</v>
      </c>
      <c r="K5" s="7">
        <v>343.82802999999996</v>
      </c>
      <c r="L5" s="7">
        <v>491.24546999999995</v>
      </c>
      <c r="M5" s="7">
        <v>346.47509</v>
      </c>
      <c r="N5" s="7">
        <v>693.77167</v>
      </c>
      <c r="O5" s="7">
        <v>1059.32483</v>
      </c>
      <c r="P5" s="7">
        <v>1491.2263799999998</v>
      </c>
      <c r="Q5" s="7">
        <v>315.47649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5">
      <c r="A6" s="54" t="str">
        <f>HLOOKUP(Chosen,Hide!$A$219:$C$266,5,FALSE)</f>
        <v>Amortyzacja wartości niematerialnych</v>
      </c>
      <c r="B6" s="7">
        <v>472</v>
      </c>
      <c r="C6" s="7">
        <v>1367</v>
      </c>
      <c r="D6" s="7">
        <v>1550</v>
      </c>
      <c r="E6" s="7">
        <v>365</v>
      </c>
      <c r="F6" s="7">
        <v>598</v>
      </c>
      <c r="G6" s="7">
        <v>763.6853100000001</v>
      </c>
      <c r="H6" s="7">
        <v>931</v>
      </c>
      <c r="I6" s="7">
        <v>168</v>
      </c>
      <c r="J6" s="7">
        <v>323.56501</v>
      </c>
      <c r="K6" s="7">
        <v>502.31041000000005</v>
      </c>
      <c r="L6" s="7">
        <v>682.2968800000001</v>
      </c>
      <c r="M6" s="7">
        <v>263.98354</v>
      </c>
      <c r="N6" s="7">
        <v>701.3676599999999</v>
      </c>
      <c r="O6" s="7">
        <v>1197.15424</v>
      </c>
      <c r="P6" s="7">
        <v>1624.0398199999997</v>
      </c>
      <c r="Q6" s="7">
        <v>300.65445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5">
      <c r="A7" s="54" t="str">
        <f>HLOOKUP(Chosen,Hide!$A$219:$C$266,6,FALSE)</f>
        <v>Podatek dochodowy</v>
      </c>
      <c r="B7" s="7">
        <v>3475</v>
      </c>
      <c r="C7" s="7">
        <v>3364</v>
      </c>
      <c r="D7" s="7">
        <v>3492</v>
      </c>
      <c r="E7" s="7">
        <v>217</v>
      </c>
      <c r="F7" s="7">
        <v>-772</v>
      </c>
      <c r="G7" s="7">
        <v>-398.6970000000001</v>
      </c>
      <c r="H7" s="7">
        <v>-771</v>
      </c>
      <c r="I7" s="7">
        <v>262</v>
      </c>
      <c r="J7" s="7">
        <v>1729.903</v>
      </c>
      <c r="K7" s="7">
        <v>1836.487</v>
      </c>
      <c r="L7" s="7">
        <v>2407.1973534449007</v>
      </c>
      <c r="M7" s="7">
        <v>1251.784</v>
      </c>
      <c r="N7" s="7">
        <v>1903.9339999999997</v>
      </c>
      <c r="O7" s="7">
        <v>3721.164</v>
      </c>
      <c r="P7" s="7">
        <v>3505.4820400000003</v>
      </c>
      <c r="Q7" s="7">
        <v>2464.4739999999997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5">
      <c r="A8" s="54" t="str">
        <f>HLOOKUP(Chosen,Hide!$A$219:$C$266,7,FALSE)</f>
        <v>Zmiana stanu zapasów</v>
      </c>
      <c r="B8" s="7">
        <v>-6348</v>
      </c>
      <c r="C8" s="7">
        <v>-1177</v>
      </c>
      <c r="D8" s="7">
        <v>-592</v>
      </c>
      <c r="E8" s="7">
        <v>598</v>
      </c>
      <c r="F8" s="7">
        <v>385</v>
      </c>
      <c r="G8" s="7">
        <v>1041.9989399999995</v>
      </c>
      <c r="H8" s="7">
        <v>1854</v>
      </c>
      <c r="I8" s="7">
        <v>1351</v>
      </c>
      <c r="J8" s="7">
        <v>1882.3262800000002</v>
      </c>
      <c r="K8" s="7">
        <v>1911.9193399999995</v>
      </c>
      <c r="L8" s="7">
        <v>2768.138700027296</v>
      </c>
      <c r="M8" s="7">
        <v>-1571.4306300000007</v>
      </c>
      <c r="N8" s="7">
        <v>-1679.2907400000004</v>
      </c>
      <c r="O8" s="7">
        <v>-1136.941100000001</v>
      </c>
      <c r="P8" s="7">
        <v>-669.51919</v>
      </c>
      <c r="Q8" s="7">
        <v>971.4518200000002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5">
      <c r="A9" s="54" t="str">
        <f>HLOOKUP(Chosen,Hide!$A$219:$C$266,8,FALSE)</f>
        <v>Zmiana stanu należności z tytułu dostaw i usług oraz pozostałych</v>
      </c>
      <c r="B9" s="7">
        <v>-9279</v>
      </c>
      <c r="C9" s="7">
        <v>4052</v>
      </c>
      <c r="D9" s="7">
        <v>-55892</v>
      </c>
      <c r="E9" s="7">
        <v>-2770</v>
      </c>
      <c r="F9" s="7">
        <v>-1981</v>
      </c>
      <c r="G9" s="7">
        <v>884.6812595000006</v>
      </c>
      <c r="H9" s="7">
        <v>797</v>
      </c>
      <c r="I9" s="7">
        <v>-942</v>
      </c>
      <c r="J9" s="7">
        <v>-2612.0365099999995</v>
      </c>
      <c r="K9" s="7">
        <v>-2058.3117500000017</v>
      </c>
      <c r="L9" s="7">
        <v>-2619.4304299999976</v>
      </c>
      <c r="M9" s="7">
        <v>-855.7930600000009</v>
      </c>
      <c r="N9" s="7">
        <v>150.17607999999927</v>
      </c>
      <c r="O9" s="7">
        <v>-1598.1690299999973</v>
      </c>
      <c r="P9" s="7">
        <v>-2255.3639999999978</v>
      </c>
      <c r="Q9" s="7">
        <v>-7020.336719999997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5">
      <c r="A10" s="54" t="str">
        <f>HLOOKUP(Chosen,Hide!$A$219:$C$266,9,FALSE)</f>
        <v>Zmiana stanu rozliczeń międzyokresowych</v>
      </c>
      <c r="B10" s="7">
        <v>-102</v>
      </c>
      <c r="C10" s="7">
        <v>-4132</v>
      </c>
      <c r="D10" s="7">
        <v>-1008</v>
      </c>
      <c r="E10" s="7">
        <v>715</v>
      </c>
      <c r="F10" s="7">
        <v>-3531</v>
      </c>
      <c r="G10" s="7">
        <v>-2058.73404</v>
      </c>
      <c r="H10" s="7">
        <v>-504</v>
      </c>
      <c r="I10" s="7">
        <v>-2525</v>
      </c>
      <c r="J10" s="7">
        <v>-158.16102999999998</v>
      </c>
      <c r="K10" s="7">
        <v>-236.80080999999996</v>
      </c>
      <c r="L10" s="7">
        <v>-315.44058999999993</v>
      </c>
      <c r="M10" s="7">
        <v>-79.04888999999994</v>
      </c>
      <c r="N10" s="7">
        <v>-158.13867000000002</v>
      </c>
      <c r="O10" s="7">
        <v>-236.4784500000001</v>
      </c>
      <c r="P10" s="7">
        <v>126.85085999999978</v>
      </c>
      <c r="Q10" s="7">
        <v>0.5980799999999192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5">
      <c r="A11" s="54" t="str">
        <f>HLOOKUP(Chosen,Hide!$A$219:$C$266,10,FALSE)</f>
        <v>Zmiana stanu zobowiązań finansowych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5">
      <c r="A12" s="54" t="str">
        <f>HLOOKUP(Chosen,Hide!$A$219:$C$266,11,FALSE)</f>
        <v>Zmiana stanu aktywów finansowych</v>
      </c>
      <c r="B12" s="7">
        <v>49</v>
      </c>
      <c r="C12" s="7">
        <v>0</v>
      </c>
      <c r="D12" s="7">
        <v>0</v>
      </c>
      <c r="E12" s="7">
        <v>-1188</v>
      </c>
      <c r="F12" s="7">
        <v>210</v>
      </c>
      <c r="G12" s="7">
        <v>313.3569780909948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>
      <c r="A13" s="54" t="str">
        <f>HLOOKUP(Chosen,Hide!$A$219:$C$266,12,FALSE)</f>
        <v>Zmiana stanu zobowiązań z tytułu dostaw i usług oraz pozostałych</v>
      </c>
      <c r="B13" s="7">
        <v>1853</v>
      </c>
      <c r="C13" s="7">
        <v>-474</v>
      </c>
      <c r="D13" s="7">
        <v>33935</v>
      </c>
      <c r="E13" s="7">
        <v>627</v>
      </c>
      <c r="F13" s="7">
        <v>-4390</v>
      </c>
      <c r="G13" s="7">
        <v>-5223.481779500004</v>
      </c>
      <c r="H13" s="7">
        <v>-4706</v>
      </c>
      <c r="I13" s="7">
        <v>862</v>
      </c>
      <c r="J13" s="7">
        <v>1209.4580800000003</v>
      </c>
      <c r="K13" s="7">
        <v>1123.8247300000003</v>
      </c>
      <c r="L13" s="7">
        <v>2630.4954055258577</v>
      </c>
      <c r="M13" s="7">
        <v>846.9819655258598</v>
      </c>
      <c r="N13" s="7">
        <v>-1355.4071</v>
      </c>
      <c r="O13" s="7">
        <v>-2489.08925</v>
      </c>
      <c r="P13" s="7">
        <v>-2531.4420399999995</v>
      </c>
      <c r="Q13" s="7">
        <v>-8.016270000000304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5">
      <c r="A14" s="54" t="str">
        <f>HLOOKUP(Chosen,Hide!$A$219:$C$266,13,FALSE)</f>
        <v>Zmiana stanu rezerw</v>
      </c>
      <c r="B14" s="7">
        <v>0</v>
      </c>
      <c r="C14" s="7">
        <v>0</v>
      </c>
      <c r="D14" s="7">
        <v>392</v>
      </c>
      <c r="E14" s="7">
        <v>60</v>
      </c>
      <c r="F14" s="7">
        <v>88</v>
      </c>
      <c r="G14" s="7">
        <v>-12.341319999999996</v>
      </c>
      <c r="H14" s="7">
        <v>159</v>
      </c>
      <c r="I14" s="7">
        <v>45</v>
      </c>
      <c r="J14" s="7">
        <v>126.76148</v>
      </c>
      <c r="K14" s="7">
        <v>80.86327000000006</v>
      </c>
      <c r="L14" s="7">
        <v>223.79107</v>
      </c>
      <c r="M14" s="7">
        <v>120.3876899999999</v>
      </c>
      <c r="N14" s="7">
        <v>88.75797999999998</v>
      </c>
      <c r="O14" s="7">
        <v>25.20584999999994</v>
      </c>
      <c r="P14" s="7">
        <v>-81.14544999999998</v>
      </c>
      <c r="Q14" s="7">
        <v>28.03654000000006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5">
      <c r="A15" s="54" t="str">
        <f>HLOOKUP(Chosen,Hide!$A$219:$C$266,14,FALSE)</f>
        <v>Zmiana stanu aktywów i pasywów - nabycie jed. zależnych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54" t="str">
        <f>HLOOKUP(Chosen,Hide!$A$219:$C$266,15,FALSE)</f>
        <v>Wycena walutowa oraz odsetki naliczone od udzielonych pożyczek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54" t="str">
        <f>HLOOKUP(Chosen,Hide!$A$219:$C$266,16,FALSE)</f>
        <v>(Zysk)/strata ze sprzedaży rzeczowych aktywów trwałych</v>
      </c>
      <c r="B17" s="7">
        <v>0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5">
      <c r="A18" s="54" t="str">
        <f>HLOOKUP(Chosen,Hide!$A$219:$C$266,17,FALSE)</f>
        <v>(Zysk)/strata ze sprzedaży inwestycji</v>
      </c>
      <c r="B18" s="7">
        <v>0</v>
      </c>
      <c r="C18" s="7">
        <v>0</v>
      </c>
      <c r="D18" s="7">
        <v>-216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5">
      <c r="A19" s="54" t="str">
        <f>HLOOKUP(Chosen,Hide!$A$219:$C$266,20,FALSE)</f>
        <v>(Przychody)/koszty finansowe netto</v>
      </c>
      <c r="B19" s="7">
        <v>-3737</v>
      </c>
      <c r="C19" s="7">
        <v>4420</v>
      </c>
      <c r="D19" s="7">
        <v>0</v>
      </c>
      <c r="E19" s="7">
        <v>0</v>
      </c>
      <c r="F19" s="7">
        <v>-98</v>
      </c>
      <c r="G19" s="7">
        <v>-2.0891099999997778</v>
      </c>
      <c r="H19" s="7">
        <v>81</v>
      </c>
      <c r="I19" s="7">
        <v>-178</v>
      </c>
      <c r="J19" s="7">
        <v>82.44845999999892</v>
      </c>
      <c r="K19" s="7">
        <v>50.13875999999922</v>
      </c>
      <c r="L19" s="7">
        <v>332.6775699999994</v>
      </c>
      <c r="M19" s="7">
        <v>22.211639999999967</v>
      </c>
      <c r="N19" s="7">
        <v>178.90125000000006</v>
      </c>
      <c r="O19" s="7">
        <v>178.90125000000006</v>
      </c>
      <c r="P19" s="7">
        <v>178.90125000000006</v>
      </c>
      <c r="Q19" s="7">
        <v>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54" t="str">
        <f>HLOOKUP(Chosen,Hide!$A$219:$C$266,21,FALSE)</f>
        <v>Wycena programu motywacyjnego</v>
      </c>
      <c r="B20" s="7">
        <v>0</v>
      </c>
      <c r="C20" s="7">
        <v>0</v>
      </c>
      <c r="D20" s="7">
        <v>3170</v>
      </c>
      <c r="E20" s="7">
        <v>1005</v>
      </c>
      <c r="F20" s="7">
        <v>2009</v>
      </c>
      <c r="G20" s="7">
        <v>2009</v>
      </c>
      <c r="H20" s="7">
        <v>2142</v>
      </c>
      <c r="I20" s="7">
        <v>742</v>
      </c>
      <c r="J20" s="7">
        <v>1484.5</v>
      </c>
      <c r="K20" s="7">
        <v>2226.75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54" t="str">
        <f>HLOOKUP(Chosen,Hide!$A$219:$C$266,22,FALSE)</f>
        <v>Podatek zapłacony</v>
      </c>
      <c r="B21" s="7">
        <v>-3948</v>
      </c>
      <c r="C21" s="7">
        <v>-4255</v>
      </c>
      <c r="D21" s="7">
        <v>-2541</v>
      </c>
      <c r="E21" s="7">
        <v>-2234</v>
      </c>
      <c r="F21" s="7">
        <v>-2447</v>
      </c>
      <c r="G21" s="7">
        <v>-3261.6900000000005</v>
      </c>
      <c r="H21" s="7">
        <v>-2285</v>
      </c>
      <c r="I21" s="7">
        <v>-545</v>
      </c>
      <c r="J21" s="7">
        <v>-572.162</v>
      </c>
      <c r="K21" s="7">
        <v>-862.255</v>
      </c>
      <c r="L21" s="7">
        <v>-823.079</v>
      </c>
      <c r="M21" s="7">
        <v>-581.669</v>
      </c>
      <c r="N21" s="7">
        <v>-799.949</v>
      </c>
      <c r="O21" s="7">
        <v>-1167.994</v>
      </c>
      <c r="P21" s="7">
        <v>-2115.509</v>
      </c>
      <c r="Q21" s="7">
        <v>-661.49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54" t="str">
        <f>HLOOKUP(Chosen,Hide!$A$219:$C$266,19,FALSE)</f>
        <v xml:space="preserve">Różnice kursowe </v>
      </c>
      <c r="B22" s="7">
        <v>0</v>
      </c>
      <c r="C22" s="7">
        <v>0</v>
      </c>
      <c r="D22" s="7">
        <v>-4227</v>
      </c>
      <c r="E22" s="7">
        <v>3789</v>
      </c>
      <c r="F22" s="7">
        <v>8410</v>
      </c>
      <c r="G22" s="7">
        <v>9460.28563213799</v>
      </c>
      <c r="H22" s="7">
        <v>12248</v>
      </c>
      <c r="I22" s="7">
        <v>1248</v>
      </c>
      <c r="J22" s="7">
        <v>-4943.730169500003</v>
      </c>
      <c r="K22" s="7">
        <v>-3546.335758499995</v>
      </c>
      <c r="L22" s="7">
        <v>-5262.568637045</v>
      </c>
      <c r="M22" s="7">
        <v>-1495.3837835199993</v>
      </c>
      <c r="N22" s="7">
        <v>413.3770399999999</v>
      </c>
      <c r="O22" s="7">
        <v>-4849.699827028639</v>
      </c>
      <c r="P22" s="7">
        <v>-2331.7243871860287</v>
      </c>
      <c r="Q22" s="7">
        <v>-5727.892580000001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54" t="str">
        <f>HLOOKUP(Chosen,Hide!$A$219:$C$266,18,FALSE)</f>
        <v>Odsetki</v>
      </c>
      <c r="B23" s="7">
        <v>0</v>
      </c>
      <c r="C23" s="7">
        <v>0</v>
      </c>
      <c r="D23" s="7">
        <v>194</v>
      </c>
      <c r="E23" s="7">
        <v>678</v>
      </c>
      <c r="F23" s="7">
        <v>-265</v>
      </c>
      <c r="G23" s="7">
        <v>-404.37814000000037</v>
      </c>
      <c r="H23" s="7">
        <v>269</v>
      </c>
      <c r="I23" s="7">
        <v>61</v>
      </c>
      <c r="J23" s="7">
        <v>7.153378072622942</v>
      </c>
      <c r="K23" s="7">
        <v>-141.60922551497166</v>
      </c>
      <c r="L23" s="7">
        <v>-86.24976006733266</v>
      </c>
      <c r="M23" s="7">
        <v>-173.19368297586922</v>
      </c>
      <c r="N23" s="7">
        <v>-709.2972399999996</v>
      </c>
      <c r="O23" s="7">
        <v>-432.9529301573896</v>
      </c>
      <c r="P23" s="7">
        <v>-294.44319655516415</v>
      </c>
      <c r="Q23" s="7">
        <v>-642.2214701916123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54" t="str">
        <f>HLOOKUP(Chosen,Hide!$A$219:$C$266,23,FALSE)</f>
        <v>Pozostałe</v>
      </c>
      <c r="B24" s="7">
        <v>0</v>
      </c>
      <c r="C24" s="7">
        <v>7</v>
      </c>
      <c r="D24" s="7">
        <v>-457</v>
      </c>
      <c r="E24" s="7">
        <v>0</v>
      </c>
      <c r="F24" s="7">
        <v>-2</v>
      </c>
      <c r="G24" s="7">
        <v>-0.6</v>
      </c>
      <c r="H24" s="7">
        <v>-2</v>
      </c>
      <c r="I24" s="7">
        <v>-2</v>
      </c>
      <c r="J24" s="7">
        <v>-30.72</v>
      </c>
      <c r="K24" s="7">
        <v>8.6851840149593</v>
      </c>
      <c r="L24" s="7">
        <v>50.4478871123265</v>
      </c>
      <c r="M24" s="7">
        <v>79.46965000000003</v>
      </c>
      <c r="N24" s="7">
        <v>153.71000000000006</v>
      </c>
      <c r="O24" s="7">
        <v>247.53544000000002</v>
      </c>
      <c r="P24" s="7">
        <v>334.71674000000013</v>
      </c>
      <c r="Q24" s="7">
        <v>67.48980999999998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6" customFormat="1" ht="15">
      <c r="A25" s="50"/>
      <c r="B25" s="8">
        <v>-2907</v>
      </c>
      <c r="C25" s="8">
        <v>17347</v>
      </c>
      <c r="D25" s="8">
        <v>19716</v>
      </c>
      <c r="E25" s="8">
        <v>2742</v>
      </c>
      <c r="F25" s="8">
        <v>-5291</v>
      </c>
      <c r="G25" s="8">
        <v>1067.4782602289815</v>
      </c>
      <c r="H25" s="8">
        <v>7719</v>
      </c>
      <c r="I25" s="8">
        <v>1514</v>
      </c>
      <c r="J25" s="8">
        <v>5841.450408572619</v>
      </c>
      <c r="K25" s="8">
        <v>8628.596019999994</v>
      </c>
      <c r="L25" s="8">
        <v>11804.094769999994</v>
      </c>
      <c r="M25" s="8">
        <v>3212.488969029988</v>
      </c>
      <c r="N25" s="8">
        <v>6517.091600000002</v>
      </c>
      <c r="O25" s="8">
        <v>9178.684412813967</v>
      </c>
      <c r="P25" s="8">
        <v>13576.453396258803</v>
      </c>
      <c r="Q25" s="8">
        <v>1090.9963798083875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15">
      <c r="A26" s="50" t="str">
        <f>HLOOKUP(Chosen,Hide!$A$219:$C$266,25,FALSE)</f>
        <v>Przepływy pieniężne z działalności inwestycyjnej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54" t="str">
        <f>HLOOKUP(Chosen,Hide!$A$219:$C$266,26,FALSE)</f>
        <v>Wpływy ze sprzedaży inwestycji</v>
      </c>
      <c r="B27" s="7">
        <v>6013</v>
      </c>
      <c r="C27" s="7">
        <v>3342</v>
      </c>
      <c r="D27" s="7">
        <v>19520</v>
      </c>
      <c r="E27" s="7">
        <v>0</v>
      </c>
      <c r="F27" s="7">
        <v>11797</v>
      </c>
      <c r="G27" s="7">
        <v>11796.6375</v>
      </c>
      <c r="H27" s="7">
        <v>15884</v>
      </c>
      <c r="I27" s="7">
        <v>0</v>
      </c>
      <c r="J27" s="7">
        <v>4148.0595</v>
      </c>
      <c r="K27" s="7">
        <v>4148.0595</v>
      </c>
      <c r="L27" s="7">
        <v>8660.8803</v>
      </c>
      <c r="M27" s="7">
        <v>0</v>
      </c>
      <c r="N27" s="7">
        <v>5825.29875</v>
      </c>
      <c r="O27" s="7">
        <v>5825.29875</v>
      </c>
      <c r="P27" s="7">
        <v>5825.29875</v>
      </c>
      <c r="Q27" s="7">
        <v>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54" t="str">
        <f>HLOOKUP(Chosen,Hide!$A$219:$C$266,27,FALSE)</f>
        <v>Odsetki otrzymane</v>
      </c>
      <c r="B28" s="7">
        <v>3737</v>
      </c>
      <c r="C28" s="7">
        <v>1732</v>
      </c>
      <c r="D28" s="7">
        <v>291</v>
      </c>
      <c r="E28" s="7">
        <v>0</v>
      </c>
      <c r="F28" s="7">
        <v>0</v>
      </c>
      <c r="G28" s="7">
        <v>0</v>
      </c>
      <c r="H28" s="7">
        <v>5098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729.9520162786171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54" t="str">
        <f>HLOOKUP(Chosen,Hide!$A$219:$C$266,28,FALSE)</f>
        <v>Nabycie jednostek zależnych</v>
      </c>
      <c r="B29" s="7">
        <v>0</v>
      </c>
      <c r="C29" s="7">
        <v>0</v>
      </c>
      <c r="D29" s="7">
        <v>-54169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-167.004</v>
      </c>
      <c r="L29" s="7">
        <v>-167.004</v>
      </c>
      <c r="M29" s="7">
        <v>-182.53344</v>
      </c>
      <c r="N29" s="7">
        <v>-182.50344</v>
      </c>
      <c r="O29" s="7">
        <v>-182.50344</v>
      </c>
      <c r="P29" s="7">
        <v>-182.40344000000002</v>
      </c>
      <c r="Q29" s="7">
        <v>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54" t="s">
        <v>373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19720.9</v>
      </c>
      <c r="O30" s="7">
        <v>19720.9</v>
      </c>
      <c r="P30" s="7">
        <v>19720.9</v>
      </c>
      <c r="Q30" s="7">
        <v>0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 customHeight="1">
      <c r="A31" s="54" t="str">
        <f>HLOOKUP(Chosen,Hide!$A$219:$C$266,29,FALSE)</f>
        <v>Udzielone pożyczki</v>
      </c>
      <c r="B31" s="7">
        <v>0</v>
      </c>
      <c r="C31" s="7">
        <v>0</v>
      </c>
      <c r="D31" s="7">
        <v>-44544</v>
      </c>
      <c r="E31" s="7">
        <v>-27799</v>
      </c>
      <c r="F31" s="7">
        <v>-27799</v>
      </c>
      <c r="G31" s="7">
        <v>-27798.98655</v>
      </c>
      <c r="H31" s="7">
        <v>-27799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-7673</v>
      </c>
      <c r="O31" s="7">
        <v>-7673</v>
      </c>
      <c r="P31" s="7">
        <v>-7673</v>
      </c>
      <c r="Q31" s="7">
        <v>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60" t="str">
        <f>HLOOKUP(Chosen,Hide!$A$219:$C$266,30,FALSE)</f>
        <v>Nabycie rzeczowych aktywów trwałych i wartości niematerialnych</v>
      </c>
      <c r="B32" s="7">
        <v>-747</v>
      </c>
      <c r="C32" s="7">
        <v>-2693</v>
      </c>
      <c r="D32" s="7">
        <v>-2948</v>
      </c>
      <c r="E32" s="7">
        <v>-5690</v>
      </c>
      <c r="F32" s="7">
        <v>-1860</v>
      </c>
      <c r="G32" s="7">
        <v>-2986.8010499999996</v>
      </c>
      <c r="H32" s="7">
        <v>-4382</v>
      </c>
      <c r="I32" s="7">
        <v>-1349</v>
      </c>
      <c r="J32" s="7">
        <v>-2747.32451</v>
      </c>
      <c r="K32" s="7">
        <v>-4375.64553</v>
      </c>
      <c r="L32" s="7">
        <v>-6158.141879999999</v>
      </c>
      <c r="M32" s="7">
        <v>-1628.4559400000003</v>
      </c>
      <c r="N32" s="7">
        <v>-2981.62861</v>
      </c>
      <c r="O32" s="7">
        <v>-4169.48614</v>
      </c>
      <c r="P32" s="7">
        <v>-5475.635000000001</v>
      </c>
      <c r="Q32" s="7">
        <v>-1102.2035699999994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60" t="str">
        <f>HLOOKUP(Chosen,Hide!$A$219:$C$266,31,FALSE)</f>
        <v>Wpływy z tytułu sprzedaży rzeczowych aktywów trwałych i wartości niematerialnych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60" t="str">
        <f>HLOOKUP(Chosen,Hide!$A$219:$C$266,32,FALSE)</f>
        <v>Inne wydatki (koszty przejęcia spółki zależnej, wydatki na prace rozwojowe)</v>
      </c>
      <c r="B34" s="7">
        <v>-4413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-43.40698999999999</v>
      </c>
      <c r="N34" s="114">
        <v>-67.47179999999999</v>
      </c>
      <c r="O34" s="7">
        <v>0</v>
      </c>
      <c r="P34" s="7">
        <v>0</v>
      </c>
      <c r="Q34" s="7">
        <v>0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60" t="str">
        <f>HLOOKUP(Chosen,Hide!$A$219:$C$266,33,FALSE)</f>
        <v>Inne wpływy finansowe</v>
      </c>
      <c r="B35" s="7">
        <v>0</v>
      </c>
      <c r="C35" s="7">
        <v>34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54" t="str">
        <f>HLOOKUP(Chosen,Hide!$A$219:$C$266,34,FALSE)</f>
        <v>Nabycie pozostałych inwestycji</v>
      </c>
      <c r="B36" s="7">
        <v>-11226</v>
      </c>
      <c r="C36" s="7">
        <v>-18472</v>
      </c>
      <c r="D36" s="7">
        <v>0</v>
      </c>
      <c r="E36" s="7">
        <v>0</v>
      </c>
      <c r="F36" s="7">
        <v>-40</v>
      </c>
      <c r="G36" s="7">
        <v>-40</v>
      </c>
      <c r="H36" s="7">
        <v>-80</v>
      </c>
      <c r="I36" s="7">
        <v>0</v>
      </c>
      <c r="J36" s="7">
        <v>0</v>
      </c>
      <c r="K36" s="7">
        <v>-40</v>
      </c>
      <c r="L36" s="7">
        <v>-40</v>
      </c>
      <c r="M36" s="7">
        <v>0</v>
      </c>
      <c r="N36" s="7">
        <v>-40</v>
      </c>
      <c r="O36" s="7">
        <v>-40</v>
      </c>
      <c r="P36" s="7">
        <v>-80</v>
      </c>
      <c r="Q36" s="7">
        <v>0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54" t="str">
        <f>HLOOKUP(Chosen,Hide!$A$219:$C$266,35,FALSE)</f>
        <v>Zmiana stanu zobowiązań z tyt. nabycia wartości niematerialnych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54" t="str">
        <f>HLOOKUP(Chosen,Hide!$A$219:$C$268,50,FALSE)</f>
        <v>Dopłaty do kapitału jednostek zależnych</v>
      </c>
      <c r="B38" s="7">
        <v>0</v>
      </c>
      <c r="C38" s="7">
        <v>0</v>
      </c>
      <c r="D38" s="7">
        <v>0</v>
      </c>
      <c r="E38" s="7">
        <v>0</v>
      </c>
      <c r="F38" s="7">
        <v>-8051</v>
      </c>
      <c r="G38" s="7">
        <v>-8050.95974</v>
      </c>
      <c r="H38" s="7">
        <v>-8051</v>
      </c>
      <c r="I38" s="7">
        <v>0</v>
      </c>
      <c r="J38" s="7">
        <v>0</v>
      </c>
      <c r="K38" s="7">
        <v>-1100</v>
      </c>
      <c r="L38" s="7">
        <v>-1100</v>
      </c>
      <c r="M38" s="7">
        <v>0</v>
      </c>
      <c r="N38" s="7">
        <v>0</v>
      </c>
      <c r="O38" s="7">
        <v>-105.46</v>
      </c>
      <c r="P38" s="7">
        <v>0</v>
      </c>
      <c r="Q38" s="7">
        <v>0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s="6" customFormat="1" ht="15">
      <c r="A39" s="50"/>
      <c r="B39" s="8">
        <v>-6636</v>
      </c>
      <c r="C39" s="8">
        <v>-16056</v>
      </c>
      <c r="D39" s="8">
        <v>-81850</v>
      </c>
      <c r="E39" s="8">
        <v>-33489</v>
      </c>
      <c r="F39" s="8">
        <v>-25953</v>
      </c>
      <c r="G39" s="8">
        <v>-27080.109839999997</v>
      </c>
      <c r="H39" s="8">
        <v>-19330</v>
      </c>
      <c r="I39" s="8">
        <v>-1349</v>
      </c>
      <c r="J39" s="8">
        <v>1400.7349900000004</v>
      </c>
      <c r="K39" s="8">
        <v>-1534.5900299999994</v>
      </c>
      <c r="L39" s="8">
        <v>1195.7344200000016</v>
      </c>
      <c r="M39" s="8">
        <v>-1854.3963700000002</v>
      </c>
      <c r="N39" s="8">
        <v>14600.744900000005</v>
      </c>
      <c r="O39" s="8">
        <v>13375.749170000003</v>
      </c>
      <c r="P39" s="8">
        <v>12135.160310000001</v>
      </c>
      <c r="Q39" s="8">
        <v>-372.2515537213824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5">
      <c r="A40" s="50" t="str">
        <f>HLOOKUP(Chosen,Hide!$A$219:$C$266,37,FALSE)</f>
        <v>Przepływy pieniężne z działalności finansowej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54" t="str">
        <f>HLOOKUP(Chosen,Hide!$A$219:$C$266,38,FALSE)</f>
        <v>Wpływy z emisji instrumentów dłużnych</v>
      </c>
      <c r="B41" s="7">
        <v>0</v>
      </c>
      <c r="C41" s="7">
        <v>0</v>
      </c>
      <c r="D41" s="7">
        <v>50000</v>
      </c>
      <c r="E41" s="11" t="s">
        <v>114</v>
      </c>
      <c r="F41" s="11">
        <v>0</v>
      </c>
      <c r="G41" s="11">
        <v>0</v>
      </c>
      <c r="H41" s="7">
        <v>0</v>
      </c>
      <c r="I41" s="11">
        <v>0</v>
      </c>
      <c r="J41" s="11">
        <v>0</v>
      </c>
      <c r="K41" s="11">
        <v>0</v>
      </c>
      <c r="L41" s="7">
        <v>0</v>
      </c>
      <c r="M41" s="7">
        <v>0</v>
      </c>
      <c r="N41" s="11">
        <v>0</v>
      </c>
      <c r="O41" s="11">
        <v>0</v>
      </c>
      <c r="P41" s="7">
        <v>0</v>
      </c>
      <c r="Q41" s="11">
        <v>0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54" t="str">
        <f>HLOOKUP(Chosen,Hide!$A$219:$C$266,39,FALSE)</f>
        <v>Wpływy z tytułu wydania akcji</v>
      </c>
      <c r="B42" s="7">
        <v>3</v>
      </c>
      <c r="C42" s="7">
        <v>0</v>
      </c>
      <c r="D42" s="7">
        <v>32186</v>
      </c>
      <c r="E42" s="11" t="s">
        <v>114</v>
      </c>
      <c r="F42" s="11">
        <v>0</v>
      </c>
      <c r="G42" s="11">
        <v>0</v>
      </c>
      <c r="H42" s="7">
        <v>0</v>
      </c>
      <c r="I42" s="11">
        <v>0</v>
      </c>
      <c r="J42" s="11">
        <v>0</v>
      </c>
      <c r="K42" s="11">
        <v>0</v>
      </c>
      <c r="L42" s="7">
        <v>0</v>
      </c>
      <c r="M42" s="7">
        <v>0</v>
      </c>
      <c r="N42" s="11">
        <v>0</v>
      </c>
      <c r="O42" s="11">
        <v>0</v>
      </c>
      <c r="P42" s="7">
        <v>0</v>
      </c>
      <c r="Q42" s="11">
        <v>0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54" t="str">
        <f>HLOOKUP(Chosen,Hide!$A$219:$C$266,40,FALSE)</f>
        <v>Wypłata dywidendy</v>
      </c>
      <c r="B43" s="7">
        <v>-4665</v>
      </c>
      <c r="C43" s="7">
        <v>-5529</v>
      </c>
      <c r="D43" s="7">
        <v>-6392</v>
      </c>
      <c r="E43" s="11">
        <v>0</v>
      </c>
      <c r="F43" s="11">
        <v>0</v>
      </c>
      <c r="G43" s="11">
        <v>0</v>
      </c>
      <c r="H43" s="7">
        <v>-7213</v>
      </c>
      <c r="I43" s="11">
        <v>0</v>
      </c>
      <c r="J43" s="11">
        <v>0</v>
      </c>
      <c r="K43" s="11">
        <v>-5121.26692</v>
      </c>
      <c r="L43" s="7">
        <v>-5121.26692</v>
      </c>
      <c r="M43" s="7">
        <v>0</v>
      </c>
      <c r="N43" s="11">
        <v>0</v>
      </c>
      <c r="O43" s="11">
        <v>0</v>
      </c>
      <c r="P43" s="7">
        <v>0</v>
      </c>
      <c r="Q43" s="11">
        <v>0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54" t="str">
        <f>HLOOKUP(Chosen,Hide!$A$219:$C$266,41,FALSE)</f>
        <v>Wpływy z tytułu zaciągniętych kredytów</v>
      </c>
      <c r="B44" s="7">
        <v>0</v>
      </c>
      <c r="C44" s="7">
        <v>0</v>
      </c>
      <c r="D44" s="7">
        <v>0</v>
      </c>
      <c r="E44" s="7">
        <v>649</v>
      </c>
      <c r="F44" s="7">
        <v>1401</v>
      </c>
      <c r="G44" s="7">
        <v>3.924950000000001</v>
      </c>
      <c r="H44" s="7">
        <v>2</v>
      </c>
      <c r="I44" s="7">
        <v>0</v>
      </c>
      <c r="J44" s="7">
        <v>0</v>
      </c>
      <c r="K44" s="7">
        <v>0</v>
      </c>
      <c r="L44" s="7">
        <v>28.722980000000003</v>
      </c>
      <c r="M44" s="7">
        <v>2.8959899999999976</v>
      </c>
      <c r="N44" s="7">
        <v>19000</v>
      </c>
      <c r="O44" s="7">
        <v>19000.39789</v>
      </c>
      <c r="P44" s="7">
        <v>19000</v>
      </c>
      <c r="Q44" s="7">
        <v>0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54" t="str">
        <f>HLOOKUP(Chosen,Hide!$A$219:$C$266,42,FALSE)</f>
        <v>Spłata kredytów i pożyczek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-3</v>
      </c>
      <c r="J45" s="7">
        <v>17.58427</v>
      </c>
      <c r="K45" s="7">
        <v>21.454849999999997</v>
      </c>
      <c r="L45" s="7">
        <v>0</v>
      </c>
      <c r="M45" s="7">
        <v>0</v>
      </c>
      <c r="N45" s="7">
        <v>-1677.327</v>
      </c>
      <c r="O45" s="7">
        <v>-4132.0643</v>
      </c>
      <c r="P45" s="7">
        <v>-6596.938050000001</v>
      </c>
      <c r="Q45" s="7">
        <v>-1263.4882499999999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54" t="s">
        <v>387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-22.57599000000001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54" t="s">
        <v>374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-51369</v>
      </c>
      <c r="O47" s="7">
        <v>-51368.5</v>
      </c>
      <c r="P47" s="7">
        <v>-51368.5</v>
      </c>
      <c r="Q47" s="7">
        <v>0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54" t="s">
        <v>368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-241.9869</v>
      </c>
      <c r="N48" s="7">
        <v>-547.47668</v>
      </c>
      <c r="O48" s="7">
        <v>-802.4886100000001</v>
      </c>
      <c r="P48" s="7">
        <v>-1030.3011999999999</v>
      </c>
      <c r="Q48" s="7">
        <v>-210.67323000000005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54" t="s">
        <v>369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-28.835549999999998</v>
      </c>
      <c r="N49" s="7">
        <v>-56.912</v>
      </c>
      <c r="O49" s="7">
        <v>-56.492</v>
      </c>
      <c r="P49" s="7">
        <v>-110</v>
      </c>
      <c r="Q49" s="7">
        <v>-22.65675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54" t="str">
        <f>HLOOKUP(Chosen,Hide!$A$219:$C$266,43,FALSE)</f>
        <v>Odsetki zapłacone od obligacji</v>
      </c>
      <c r="B50" s="7">
        <v>0</v>
      </c>
      <c r="C50" s="7">
        <v>0</v>
      </c>
      <c r="D50" s="7">
        <v>-1363</v>
      </c>
      <c r="E50" s="7">
        <v>0</v>
      </c>
      <c r="F50" s="7">
        <v>-1371</v>
      </c>
      <c r="G50" s="7">
        <v>-1371</v>
      </c>
      <c r="H50" s="7">
        <v>-2753</v>
      </c>
      <c r="I50" s="7">
        <v>0</v>
      </c>
      <c r="J50" s="7">
        <v>-1373.5</v>
      </c>
      <c r="K50" s="7">
        <v>-1373.5</v>
      </c>
      <c r="L50" s="7">
        <v>-2747.5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55" t="str">
        <f>HLOOKUP(Chosen,Hide!$A$219:$C$266,44,FALSE)</f>
        <v>Dyskonto od obligacji</v>
      </c>
      <c r="B51" s="7">
        <v>0</v>
      </c>
      <c r="C51" s="7">
        <v>0</v>
      </c>
      <c r="D51" s="7">
        <v>-480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/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55" t="str">
        <f>HLOOKUP(Chosen,Hide!$A$219:$C$266,45,FALSE)</f>
        <v>Inne wpływy finansowe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82</v>
      </c>
      <c r="K52" s="7">
        <v>208.73931</v>
      </c>
      <c r="L52" s="7">
        <v>385.88147999999995</v>
      </c>
      <c r="M52" s="7">
        <v>131.84766</v>
      </c>
      <c r="N52" s="7">
        <v>300.87593000000004</v>
      </c>
      <c r="O52" s="7">
        <v>487.45059000000003</v>
      </c>
      <c r="P52" s="7">
        <v>632.04178</v>
      </c>
      <c r="Q52" s="7">
        <v>49.50995000000007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s="6" customFormat="1" ht="15">
      <c r="A53" s="50"/>
      <c r="B53" s="13">
        <v>-4662</v>
      </c>
      <c r="C53" s="8">
        <v>-5529</v>
      </c>
      <c r="D53" s="8">
        <v>73951</v>
      </c>
      <c r="E53" s="13">
        <v>649</v>
      </c>
      <c r="F53" s="13">
        <v>30</v>
      </c>
      <c r="G53" s="13">
        <v>-1367.07505</v>
      </c>
      <c r="H53" s="8">
        <v>-9964</v>
      </c>
      <c r="I53" s="13">
        <v>-3</v>
      </c>
      <c r="J53" s="13">
        <v>-1273.80108</v>
      </c>
      <c r="K53" s="13">
        <v>-6264.57276</v>
      </c>
      <c r="L53" s="8">
        <v>-7454.1624600000005</v>
      </c>
      <c r="M53" s="13">
        <v>-136.07880000000003</v>
      </c>
      <c r="N53" s="13">
        <v>-34349.33975</v>
      </c>
      <c r="O53" s="13">
        <v>-36871.89642999999</v>
      </c>
      <c r="P53" s="8">
        <v>-39473.69747</v>
      </c>
      <c r="Q53" s="13">
        <v>-1469.88427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6" customFormat="1" ht="15">
      <c r="A54" s="50" t="str">
        <f>HLOOKUP(Chosen,Hide!$A$219:$C$266,46,FALSE)</f>
        <v>Przepływy pieniężne netto ogółem</v>
      </c>
      <c r="B54" s="8">
        <v>-14205</v>
      </c>
      <c r="C54" s="8">
        <v>-4238</v>
      </c>
      <c r="D54" s="8">
        <v>11817</v>
      </c>
      <c r="E54" s="8">
        <v>-30098</v>
      </c>
      <c r="F54" s="8">
        <v>-31214</v>
      </c>
      <c r="G54" s="8">
        <v>-27380.036629771017</v>
      </c>
      <c r="H54" s="8">
        <v>-21575</v>
      </c>
      <c r="I54" s="8">
        <v>162</v>
      </c>
      <c r="J54" s="8">
        <v>5968.38431857262</v>
      </c>
      <c r="K54" s="8">
        <v>829.4332299999942</v>
      </c>
      <c r="L54" s="8">
        <v>5545.9667299999965</v>
      </c>
      <c r="M54" s="8">
        <v>1222.0137990299877</v>
      </c>
      <c r="N54" s="8">
        <f>-13231.50325+0.1</f>
        <v>-13231.40325</v>
      </c>
      <c r="O54" s="8">
        <v>-14317.462847186023</v>
      </c>
      <c r="P54" s="8">
        <v>-13762.583763741197</v>
      </c>
      <c r="Q54" s="8">
        <v>-751.1394439129949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5">
      <c r="A55" s="51" t="str">
        <f>HLOOKUP(Chosen,Hide!$A$219:$C$266,47,FALSE)</f>
        <v>Środki pieniężne i ich ekwiwalenty na początek okresu</v>
      </c>
      <c r="B55" s="7">
        <v>38405</v>
      </c>
      <c r="C55" s="7">
        <v>24200</v>
      </c>
      <c r="D55" s="7">
        <v>19962</v>
      </c>
      <c r="E55" s="7">
        <v>31779</v>
      </c>
      <c r="F55" s="7">
        <v>31779</v>
      </c>
      <c r="G55" s="7">
        <v>31778.65</v>
      </c>
      <c r="H55" s="7">
        <v>31779</v>
      </c>
      <c r="I55" s="7">
        <v>10204</v>
      </c>
      <c r="J55" s="7">
        <v>10204</v>
      </c>
      <c r="K55" s="7">
        <v>10204</v>
      </c>
      <c r="L55" s="7">
        <v>10203.71</v>
      </c>
      <c r="M55" s="7">
        <v>15750</v>
      </c>
      <c r="N55" s="7">
        <v>15750</v>
      </c>
      <c r="O55" s="7">
        <v>15750</v>
      </c>
      <c r="P55" s="7">
        <v>15749.766730000001</v>
      </c>
      <c r="Q55" s="7">
        <v>1987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s="6" customFormat="1" ht="15">
      <c r="A56" s="50" t="str">
        <f>HLOOKUP(Chosen,Hide!$A$219:$C$266,48,FALSE)</f>
        <v>Środki pieniężne na koniec okresu</v>
      </c>
      <c r="B56" s="8">
        <v>24200</v>
      </c>
      <c r="C56" s="8">
        <v>19962</v>
      </c>
      <c r="D56" s="8">
        <v>31779</v>
      </c>
      <c r="E56" s="8">
        <v>1681</v>
      </c>
      <c r="F56" s="8">
        <v>565</v>
      </c>
      <c r="G56" s="8">
        <v>4398.613370228984</v>
      </c>
      <c r="H56" s="8">
        <v>10204</v>
      </c>
      <c r="I56" s="8">
        <v>10366</v>
      </c>
      <c r="J56" s="8">
        <v>16172.38431857262</v>
      </c>
      <c r="K56" s="8">
        <v>11033.433229999995</v>
      </c>
      <c r="L56" s="8">
        <v>15749.766730000001</v>
      </c>
      <c r="M56" s="8">
        <v>16972.013799029988</v>
      </c>
      <c r="N56" s="8">
        <v>2519</v>
      </c>
      <c r="O56" s="8">
        <v>1432.5371528139767</v>
      </c>
      <c r="P56" s="8">
        <v>1987.4179999999997</v>
      </c>
      <c r="Q56" s="8">
        <v>1235.860556087005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2:60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2:6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2:6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2:6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2:6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2:6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2:6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2:6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6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2:6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2:6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2:6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2:6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2:6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2:6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2:6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2:6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2:6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2:6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2:6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2:6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2:6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2:6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2:6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2:6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2:6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2:6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2:6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2:6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2:6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2:6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2:6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2:6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2:6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2:6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2:6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2:6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2:6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2:6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2:6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2:6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2:6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2:60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2:60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2:60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2:60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2:60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2:60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2:60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2:60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2:60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2:60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2:60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2:60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2:60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2:60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2:60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2:60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2:60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2:60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2:60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2:60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2:60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2:60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2:60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2:60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2:60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2:60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2:60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2:60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2:60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2:60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2:60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2:60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2:60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2:60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2:60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2:60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2:60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2:60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2:60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2:60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2:60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2:60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2:60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2:60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2:60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2:60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2:60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2:60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2:60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2:60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2:60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2:60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2:60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2:60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2:60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2:60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2:60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2:60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2:60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2:60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2:60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2:60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2:60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2:60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2:60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2:60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2:60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2:60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2:60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2:60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2:60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2:60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2:60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2:60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2:60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2:60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2:60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2:60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2:60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2:60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2:60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2:60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2:60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2:60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2:60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2:60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2:60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2:60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2:60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2:60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2:60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2:60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2:60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2:60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2:60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2:60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2:60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2:60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2:60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2:60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2:60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2:60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2:60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2:60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2:60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2:60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2:60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2:60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2:60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2:60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2:60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2:60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2:60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2:60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2:60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2:60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2:60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2:60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2:60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2:60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2:60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2:60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2:60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2:60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2:60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2:60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2:60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2:60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2:60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2:60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2:60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2:60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2:60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2:60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2:60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2:60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2:60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2:60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2:60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2:60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2:60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2:60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2:60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2:60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2:60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2:60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2:60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2:60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2:60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2:60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2:60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2:60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2:60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2:60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2:60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2:60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2:60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2:60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2:60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2:60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2:60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2:60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2:60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2:60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2:60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2:60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2:60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2:60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2:60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 spans="2:60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 spans="2:60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 spans="2:60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2:60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 spans="2:60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2:60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 spans="2:60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 spans="2:60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000396251678"/>
  </sheetPr>
  <dimension ref="A1:BE9"/>
  <sheetViews>
    <sheetView showGridLines="0" workbookViewId="0" topLeftCell="A1">
      <pane xSplit="1" ySplit="3" topLeftCell="AR4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BA4" sqref="BA4"/>
    </sheetView>
  </sheetViews>
  <sheetFormatPr defaultColWidth="8.7109375" defaultRowHeight="15" outlineLevelCol="1"/>
  <cols>
    <col min="1" max="1" width="28.28125" style="2" customWidth="1"/>
    <col min="2" max="4" width="10.140625" style="23" customWidth="1" outlineLevel="1"/>
    <col min="5" max="5" width="10.140625" style="2" customWidth="1" outlineLevel="1"/>
    <col min="6" max="6" width="8.7109375" style="2" customWidth="1"/>
    <col min="7" max="7" width="8.7109375" style="2" customWidth="1" outlineLevel="1"/>
    <col min="8" max="8" width="9.7109375" style="2" customWidth="1" outlineLevel="1"/>
    <col min="9" max="9" width="8.7109375" style="2" customWidth="1" outlineLevel="1"/>
    <col min="10" max="10" width="8.7109375" style="2" customWidth="1"/>
    <col min="11" max="13" width="8.7109375" style="2" customWidth="1" outlineLevel="1"/>
    <col min="14" max="14" width="8.7109375" style="2" customWidth="1"/>
    <col min="15" max="17" width="8.7109375" style="2" hidden="1" customWidth="1" outlineLevel="1"/>
    <col min="18" max="18" width="8.7109375" style="2" customWidth="1" collapsed="1"/>
    <col min="19" max="16384" width="8.7109375" style="2" customWidth="1"/>
  </cols>
  <sheetData>
    <row r="1" ht="15">
      <c r="A1" s="3" t="str">
        <f>HLOOKUP(Chosen,Hide!$A$9:$C$11,2,FALSE)</f>
        <v>SPIS TREŚCI</v>
      </c>
    </row>
    <row r="2" ht="15">
      <c r="A2" s="36" t="str">
        <f>HLOOKUP(Chosen,Hide!$A$287:$C$291,3,FALSE)</f>
        <v>WNIOSKI</v>
      </c>
    </row>
    <row r="3" spans="2:57" s="32" customFormat="1" ht="15">
      <c r="B3" s="34" t="s">
        <v>11</v>
      </c>
      <c r="C3" s="34" t="s">
        <v>12</v>
      </c>
      <c r="D3" s="34" t="s">
        <v>13</v>
      </c>
      <c r="E3" s="34" t="s">
        <v>14</v>
      </c>
      <c r="F3" s="35" t="s">
        <v>15</v>
      </c>
      <c r="G3" s="34" t="s">
        <v>109</v>
      </c>
      <c r="H3" s="34" t="s">
        <v>110</v>
      </c>
      <c r="I3" s="34" t="s">
        <v>111</v>
      </c>
      <c r="J3" s="35" t="s">
        <v>112</v>
      </c>
      <c r="K3" s="34" t="s">
        <v>113</v>
      </c>
      <c r="L3" s="34" t="s">
        <v>319</v>
      </c>
      <c r="M3" s="34" t="s">
        <v>320</v>
      </c>
      <c r="N3" s="35" t="s">
        <v>322</v>
      </c>
      <c r="O3" s="34" t="s">
        <v>321</v>
      </c>
      <c r="P3" s="34" t="s">
        <v>326</v>
      </c>
      <c r="Q3" s="34" t="s">
        <v>327</v>
      </c>
      <c r="R3" s="35" t="s">
        <v>325</v>
      </c>
      <c r="S3" s="109">
        <v>2017</v>
      </c>
      <c r="T3" s="34" t="s">
        <v>334</v>
      </c>
      <c r="U3" s="34" t="s">
        <v>335</v>
      </c>
      <c r="V3" s="34" t="s">
        <v>336</v>
      </c>
      <c r="W3" s="35" t="s">
        <v>328</v>
      </c>
      <c r="X3" s="34" t="s">
        <v>337</v>
      </c>
      <c r="Y3" s="34" t="s">
        <v>338</v>
      </c>
      <c r="Z3" s="34" t="s">
        <v>339</v>
      </c>
      <c r="AA3" s="35" t="s">
        <v>340</v>
      </c>
      <c r="AB3" s="34" t="s">
        <v>341</v>
      </c>
      <c r="AC3" s="34" t="s">
        <v>346</v>
      </c>
      <c r="AD3" s="34" t="s">
        <v>345</v>
      </c>
      <c r="AE3" s="35" t="s">
        <v>347</v>
      </c>
      <c r="AF3" s="34" t="s">
        <v>358</v>
      </c>
      <c r="AG3" s="34" t="s">
        <v>359</v>
      </c>
      <c r="AH3" s="34" t="s">
        <v>360</v>
      </c>
      <c r="AI3" s="35" t="s">
        <v>357</v>
      </c>
      <c r="AJ3" s="109">
        <v>2018</v>
      </c>
      <c r="AK3" s="34" t="s">
        <v>370</v>
      </c>
      <c r="AL3" s="34" t="s">
        <v>371</v>
      </c>
      <c r="AM3" s="34" t="s">
        <v>372</v>
      </c>
      <c r="AN3" s="35" t="s">
        <v>361</v>
      </c>
      <c r="AO3" s="34" t="s">
        <v>376</v>
      </c>
      <c r="AP3" s="34" t="s">
        <v>377</v>
      </c>
      <c r="AQ3" s="34" t="s">
        <v>378</v>
      </c>
      <c r="AR3" s="35" t="s">
        <v>362</v>
      </c>
      <c r="AS3" s="34" t="s">
        <v>379</v>
      </c>
      <c r="AT3" s="34" t="s">
        <v>380</v>
      </c>
      <c r="AU3" s="34" t="s">
        <v>381</v>
      </c>
      <c r="AV3" s="35" t="s">
        <v>363</v>
      </c>
      <c r="AW3" s="34" t="s">
        <v>383</v>
      </c>
      <c r="AX3" s="34" t="s">
        <v>384</v>
      </c>
      <c r="AY3" s="34" t="s">
        <v>385</v>
      </c>
      <c r="AZ3" s="35" t="s">
        <v>364</v>
      </c>
      <c r="BA3" s="109">
        <v>2019</v>
      </c>
      <c r="BB3" s="34" t="s">
        <v>388</v>
      </c>
      <c r="BC3" s="34" t="s">
        <v>389</v>
      </c>
      <c r="BD3" s="34" t="s">
        <v>390</v>
      </c>
      <c r="BE3" s="35" t="s">
        <v>386</v>
      </c>
    </row>
    <row r="4" spans="1:57" s="30" customFormat="1" ht="33" customHeight="1">
      <c r="A4" s="36" t="str">
        <f>HLOOKUP(Chosen,Hide!$A$287:$C$291,2,FALSE)</f>
        <v xml:space="preserve">Liczba złożonych wniosków o płatność od ubezpieczycieli </v>
      </c>
      <c r="B4" s="28">
        <v>14571</v>
      </c>
      <c r="C4" s="29">
        <v>13840</v>
      </c>
      <c r="D4" s="29">
        <v>14559</v>
      </c>
      <c r="E4" s="29">
        <v>12944</v>
      </c>
      <c r="F4" s="30">
        <v>17056</v>
      </c>
      <c r="G4" s="29">
        <v>9989</v>
      </c>
      <c r="H4" s="29">
        <v>10238</v>
      </c>
      <c r="I4" s="31">
        <v>8864</v>
      </c>
      <c r="J4" s="30">
        <f>SUM(G4:I4)</f>
        <v>29091</v>
      </c>
      <c r="K4" s="30">
        <v>7446</v>
      </c>
      <c r="L4" s="99">
        <v>8802</v>
      </c>
      <c r="M4" s="99">
        <v>7826</v>
      </c>
      <c r="N4" s="30">
        <f>SUM(K4:M4)</f>
        <v>24074</v>
      </c>
      <c r="O4" s="101">
        <v>8625</v>
      </c>
      <c r="P4" s="30">
        <v>8341</v>
      </c>
      <c r="Q4" s="30">
        <v>7795</v>
      </c>
      <c r="R4" s="30">
        <f>SUM(O4:Q4)</f>
        <v>24761</v>
      </c>
      <c r="S4" s="108">
        <f>SUM(F4,J4,N4,R4)</f>
        <v>94982</v>
      </c>
      <c r="T4" s="101">
        <v>8279</v>
      </c>
      <c r="U4" s="30">
        <v>7346</v>
      </c>
      <c r="V4" s="30">
        <v>9200</v>
      </c>
      <c r="W4" s="30">
        <f>SUM(T4:V4)</f>
        <v>24825</v>
      </c>
      <c r="X4" s="101">
        <v>8617</v>
      </c>
      <c r="Y4" s="101">
        <v>9403</v>
      </c>
      <c r="Z4" s="101">
        <v>8520</v>
      </c>
      <c r="AA4" s="30">
        <f>SUM(X4:Z4)</f>
        <v>26540</v>
      </c>
      <c r="AB4" s="101">
        <v>8381</v>
      </c>
      <c r="AC4" s="30">
        <v>8734</v>
      </c>
      <c r="AD4" s="30">
        <v>7146</v>
      </c>
      <c r="AE4" s="30">
        <f>SUM(AB4:AD4)</f>
        <v>24261</v>
      </c>
      <c r="AF4" s="30">
        <v>9420</v>
      </c>
      <c r="AG4" s="30">
        <v>8362</v>
      </c>
      <c r="AH4" s="30">
        <v>7413</v>
      </c>
      <c r="AI4" s="30">
        <f>SUM(AF4:AH4)</f>
        <v>25195</v>
      </c>
      <c r="AJ4" s="108">
        <f>W4+AA4+AE4+AI4</f>
        <v>100821</v>
      </c>
      <c r="AK4" s="101">
        <v>7704</v>
      </c>
      <c r="AL4" s="30">
        <v>7866</v>
      </c>
      <c r="AM4" s="30">
        <v>7752</v>
      </c>
      <c r="AN4" s="30">
        <f>SUM(AK4:AM4)</f>
        <v>23322</v>
      </c>
      <c r="AO4" s="30">
        <v>8213</v>
      </c>
      <c r="AP4" s="30">
        <v>7533</v>
      </c>
      <c r="AQ4" s="30">
        <v>6657</v>
      </c>
      <c r="AR4" s="30">
        <f>SUM(AO4:AQ4)</f>
        <v>22403</v>
      </c>
      <c r="AS4" s="30">
        <v>7707</v>
      </c>
      <c r="AT4" s="30">
        <v>6521</v>
      </c>
      <c r="AU4" s="30">
        <v>6524</v>
      </c>
      <c r="AV4" s="30">
        <f>SUM(AS4:AU4)</f>
        <v>20752</v>
      </c>
      <c r="AW4" s="30">
        <v>7232</v>
      </c>
      <c r="AX4" s="30">
        <v>6300</v>
      </c>
      <c r="AY4" s="30">
        <v>7301</v>
      </c>
      <c r="AZ4" s="30">
        <f>SUM(AW4:AY4)</f>
        <v>20833</v>
      </c>
      <c r="BA4" s="108">
        <f>AN4+AR4+AV4+AZ4</f>
        <v>87310</v>
      </c>
      <c r="BB4" s="30">
        <v>6262</v>
      </c>
      <c r="BC4" s="30">
        <v>7235</v>
      </c>
      <c r="BD4" s="30">
        <v>7535</v>
      </c>
      <c r="BE4" s="30">
        <f>SUM(BB4:BD4)</f>
        <v>21032</v>
      </c>
    </row>
    <row r="5" spans="1:28" ht="15">
      <c r="A5" s="36"/>
      <c r="D5" s="31"/>
      <c r="AB5" s="101"/>
    </row>
    <row r="6" spans="1:19" ht="15">
      <c r="A6" s="36"/>
      <c r="C6" s="31"/>
      <c r="J6" s="30"/>
      <c r="K6" s="92"/>
      <c r="N6" s="30"/>
      <c r="O6" s="92"/>
      <c r="S6" s="92"/>
    </row>
    <row r="7" spans="1:27" ht="45">
      <c r="A7" s="79" t="str">
        <f>HLOOKUP(Chosen,Hide!$A$287:$C$291,5,FALSE)</f>
        <v xml:space="preserve">Uwaga: Od kwietnia 2017 Spółka publikuje dane miesięczne </v>
      </c>
      <c r="J7" s="93"/>
      <c r="K7" s="94"/>
      <c r="L7" s="94"/>
      <c r="M7" s="95"/>
      <c r="N7" s="31"/>
      <c r="O7" s="96"/>
      <c r="P7" s="97"/>
      <c r="Q7" s="97"/>
      <c r="R7" s="31"/>
      <c r="X7" s="110"/>
      <c r="Y7" s="110"/>
      <c r="Z7" s="110"/>
      <c r="AA7" s="110"/>
    </row>
    <row r="8" spans="10:27" ht="15">
      <c r="J8" s="98"/>
      <c r="K8" s="99"/>
      <c r="L8" s="99"/>
      <c r="M8" s="100"/>
      <c r="N8" s="98"/>
      <c r="O8" s="101"/>
      <c r="P8" s="102"/>
      <c r="Q8" s="102"/>
      <c r="R8" s="103"/>
      <c r="X8" s="101"/>
      <c r="Y8" s="101"/>
      <c r="Z8" s="101"/>
      <c r="AA8" s="101"/>
    </row>
    <row r="9" spans="10:18" ht="15">
      <c r="J9" s="104"/>
      <c r="K9" s="105"/>
      <c r="L9" s="106"/>
      <c r="M9" s="106"/>
      <c r="N9" s="104"/>
      <c r="O9" s="107"/>
      <c r="P9" s="107"/>
      <c r="Q9" s="107"/>
      <c r="R9" s="10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G3:I3 K3:M3 O3:Q3 T3:V3 AF3:AH3 X3:AD3 AK3:AN3 AO3:AU3 AW3:AY3 BB3:BD3" twoDigitTextYear="1"/>
    <ignoredError sqref="J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91"/>
  <sheetViews>
    <sheetView workbookViewId="0" topLeftCell="A189">
      <selection activeCell="B203" sqref="B203"/>
    </sheetView>
  </sheetViews>
  <sheetFormatPr defaultColWidth="10.7109375" defaultRowHeight="15"/>
  <cols>
    <col min="1" max="1" width="10.28125" style="0" customWidth="1"/>
    <col min="2" max="2" width="75.421875" style="0" customWidth="1"/>
    <col min="3" max="3" width="73.7109375" style="0" customWidth="1"/>
  </cols>
  <sheetData>
    <row r="1" spans="1:2" ht="15">
      <c r="A1" s="122" t="s">
        <v>271</v>
      </c>
      <c r="B1" s="122"/>
    </row>
    <row r="3" spans="1:3" ht="15">
      <c r="A3" s="1" t="s">
        <v>272</v>
      </c>
      <c r="C3" s="67"/>
    </row>
    <row r="4" ht="15">
      <c r="A4" t="s">
        <v>152</v>
      </c>
    </row>
    <row r="5" ht="15">
      <c r="A5" t="s">
        <v>297</v>
      </c>
    </row>
    <row r="8" ht="15">
      <c r="A8" s="1" t="s">
        <v>273</v>
      </c>
    </row>
    <row r="9" spans="1:3" ht="15">
      <c r="A9">
        <v>1</v>
      </c>
      <c r="B9" t="s">
        <v>152</v>
      </c>
      <c r="C9" t="s">
        <v>297</v>
      </c>
    </row>
    <row r="10" spans="1:3" ht="15">
      <c r="A10">
        <v>2</v>
      </c>
      <c r="B10" t="s">
        <v>154</v>
      </c>
      <c r="C10" t="s">
        <v>153</v>
      </c>
    </row>
    <row r="11" spans="1:3" ht="15">
      <c r="A11">
        <v>3</v>
      </c>
      <c r="B11" s="1" t="s">
        <v>299</v>
      </c>
      <c r="C11" s="1" t="s">
        <v>293</v>
      </c>
    </row>
    <row r="12" spans="1:3" ht="15">
      <c r="A12">
        <v>4</v>
      </c>
      <c r="B12" t="s">
        <v>290</v>
      </c>
      <c r="C12" t="s">
        <v>162</v>
      </c>
    </row>
    <row r="13" spans="1:3" ht="15">
      <c r="A13">
        <v>5</v>
      </c>
      <c r="B13" t="s">
        <v>169</v>
      </c>
      <c r="C13" t="s">
        <v>163</v>
      </c>
    </row>
    <row r="14" spans="1:3" ht="15">
      <c r="A14">
        <v>6</v>
      </c>
      <c r="B14" t="s">
        <v>170</v>
      </c>
      <c r="C14" t="s">
        <v>164</v>
      </c>
    </row>
    <row r="15" ht="15">
      <c r="A15">
        <v>7</v>
      </c>
    </row>
    <row r="16" spans="1:3" ht="15">
      <c r="A16">
        <v>8</v>
      </c>
      <c r="B16" t="s">
        <v>291</v>
      </c>
      <c r="C16" t="s">
        <v>165</v>
      </c>
    </row>
    <row r="17" spans="1:3" ht="15">
      <c r="A17">
        <v>9</v>
      </c>
      <c r="B17" t="s">
        <v>288</v>
      </c>
      <c r="C17" t="s">
        <v>166</v>
      </c>
    </row>
    <row r="18" spans="1:3" ht="15">
      <c r="A18">
        <v>10</v>
      </c>
      <c r="B18" t="s">
        <v>289</v>
      </c>
      <c r="C18" t="s">
        <v>167</v>
      </c>
    </row>
    <row r="19" spans="1:2" ht="15">
      <c r="A19">
        <v>11</v>
      </c>
    </row>
    <row r="20" spans="1:3" ht="15">
      <c r="A20">
        <v>12</v>
      </c>
      <c r="B20" t="s">
        <v>161</v>
      </c>
      <c r="C20" t="s">
        <v>168</v>
      </c>
    </row>
    <row r="21" ht="15">
      <c r="A21">
        <v>13</v>
      </c>
    </row>
    <row r="22" spans="1:3" ht="15">
      <c r="A22">
        <v>14</v>
      </c>
      <c r="B22" t="s">
        <v>2</v>
      </c>
      <c r="C22" t="s">
        <v>133</v>
      </c>
    </row>
    <row r="24" spans="1:3" s="78" customFormat="1" ht="15">
      <c r="A24" s="77" t="s">
        <v>292</v>
      </c>
      <c r="B24" s="77" t="s">
        <v>290</v>
      </c>
      <c r="C24" s="77" t="s">
        <v>162</v>
      </c>
    </row>
    <row r="25" spans="1:3" ht="15">
      <c r="A25">
        <v>1</v>
      </c>
      <c r="B25" t="s">
        <v>152</v>
      </c>
      <c r="C25" t="s">
        <v>297</v>
      </c>
    </row>
    <row r="26" spans="1:3" ht="15">
      <c r="A26">
        <v>2</v>
      </c>
      <c r="B26" s="61" t="s">
        <v>198</v>
      </c>
      <c r="C26" s="36" t="s">
        <v>16</v>
      </c>
    </row>
    <row r="27" spans="1:3" ht="15">
      <c r="A27">
        <v>3</v>
      </c>
      <c r="B27" s="62" t="s">
        <v>215</v>
      </c>
      <c r="C27" s="37" t="s">
        <v>17</v>
      </c>
    </row>
    <row r="28" spans="1:3" ht="15">
      <c r="A28">
        <v>4</v>
      </c>
      <c r="B28" s="62" t="s">
        <v>199</v>
      </c>
      <c r="C28" s="37" t="s">
        <v>18</v>
      </c>
    </row>
    <row r="29" spans="1:3" ht="15">
      <c r="A29">
        <v>5</v>
      </c>
      <c r="B29" s="62" t="s">
        <v>200</v>
      </c>
      <c r="C29" s="37" t="s">
        <v>19</v>
      </c>
    </row>
    <row r="30" spans="1:3" ht="15">
      <c r="A30">
        <v>6</v>
      </c>
      <c r="B30" s="62" t="s">
        <v>216</v>
      </c>
      <c r="C30" s="37" t="s">
        <v>20</v>
      </c>
    </row>
    <row r="31" spans="1:3" ht="15">
      <c r="A31">
        <v>7</v>
      </c>
      <c r="B31" s="63" t="s">
        <v>221</v>
      </c>
      <c r="C31" s="38" t="s">
        <v>21</v>
      </c>
    </row>
    <row r="32" spans="1:3" ht="15">
      <c r="A32">
        <v>8</v>
      </c>
      <c r="B32" s="64" t="s">
        <v>222</v>
      </c>
      <c r="C32" s="39" t="s">
        <v>22</v>
      </c>
    </row>
    <row r="33" spans="1:3" ht="15">
      <c r="A33">
        <v>9</v>
      </c>
      <c r="B33" s="61" t="s">
        <v>201</v>
      </c>
      <c r="C33" s="36" t="s">
        <v>23</v>
      </c>
    </row>
    <row r="34" spans="1:3" ht="15">
      <c r="A34">
        <v>10</v>
      </c>
      <c r="B34" s="65" t="s">
        <v>217</v>
      </c>
      <c r="C34" s="40" t="s">
        <v>24</v>
      </c>
    </row>
    <row r="35" spans="1:3" ht="15">
      <c r="A35">
        <v>11</v>
      </c>
      <c r="B35" s="65" t="s">
        <v>218</v>
      </c>
      <c r="C35" s="40" t="s">
        <v>25</v>
      </c>
    </row>
    <row r="36" spans="1:3" ht="15">
      <c r="A36">
        <v>12</v>
      </c>
      <c r="B36" s="64" t="s">
        <v>202</v>
      </c>
      <c r="C36" s="39" t="s">
        <v>26</v>
      </c>
    </row>
    <row r="37" spans="1:3" ht="15">
      <c r="A37">
        <v>13</v>
      </c>
      <c r="B37" s="65" t="s">
        <v>203</v>
      </c>
      <c r="C37" s="40" t="s">
        <v>27</v>
      </c>
    </row>
    <row r="38" spans="1:3" ht="15">
      <c r="A38">
        <v>14</v>
      </c>
      <c r="B38" s="65" t="s">
        <v>220</v>
      </c>
      <c r="C38" s="40" t="s">
        <v>28</v>
      </c>
    </row>
    <row r="39" spans="1:3" ht="15">
      <c r="A39">
        <v>15</v>
      </c>
      <c r="B39" s="61" t="s">
        <v>204</v>
      </c>
      <c r="C39" s="36" t="s">
        <v>304</v>
      </c>
    </row>
    <row r="40" spans="1:3" ht="15">
      <c r="A40">
        <v>16</v>
      </c>
      <c r="B40" s="61" t="s">
        <v>205</v>
      </c>
      <c r="C40" s="36" t="s">
        <v>29</v>
      </c>
    </row>
    <row r="41" spans="1:3" ht="15">
      <c r="A41">
        <v>17</v>
      </c>
      <c r="B41" s="62" t="s">
        <v>206</v>
      </c>
      <c r="C41" s="37" t="s">
        <v>30</v>
      </c>
    </row>
    <row r="42" spans="1:3" ht="15">
      <c r="A42">
        <v>18</v>
      </c>
      <c r="B42" s="61" t="s">
        <v>207</v>
      </c>
      <c r="C42" s="36" t="s">
        <v>31</v>
      </c>
    </row>
    <row r="43" spans="1:3" ht="30">
      <c r="A43">
        <v>19</v>
      </c>
      <c r="B43" s="62" t="s">
        <v>208</v>
      </c>
      <c r="C43" s="37" t="s">
        <v>305</v>
      </c>
    </row>
    <row r="44" spans="1:3" ht="30">
      <c r="A44">
        <v>20</v>
      </c>
      <c r="B44" s="62" t="s">
        <v>209</v>
      </c>
      <c r="C44" s="37" t="s">
        <v>34</v>
      </c>
    </row>
    <row r="45" spans="2:3" ht="15">
      <c r="B45" s="64"/>
      <c r="C45" s="39"/>
    </row>
    <row r="46" spans="1:3" ht="30">
      <c r="A46">
        <v>22</v>
      </c>
      <c r="B46" s="64" t="s">
        <v>210</v>
      </c>
      <c r="C46" s="39" t="s">
        <v>306</v>
      </c>
    </row>
    <row r="47" spans="1:3" ht="15">
      <c r="A47">
        <v>23</v>
      </c>
      <c r="B47" s="66" t="s">
        <v>224</v>
      </c>
      <c r="C47" s="41" t="s">
        <v>35</v>
      </c>
    </row>
    <row r="48" spans="1:3" ht="15">
      <c r="A48">
        <v>24</v>
      </c>
      <c r="B48" s="66" t="s">
        <v>223</v>
      </c>
      <c r="C48" s="41" t="s">
        <v>36</v>
      </c>
    </row>
    <row r="49" spans="1:3" ht="15">
      <c r="A49">
        <v>25</v>
      </c>
      <c r="B49" s="66"/>
      <c r="C49" s="41"/>
    </row>
    <row r="50" spans="1:3" ht="15">
      <c r="A50">
        <v>26</v>
      </c>
      <c r="B50" s="36" t="s">
        <v>207</v>
      </c>
      <c r="C50" s="36" t="s">
        <v>31</v>
      </c>
    </row>
    <row r="51" spans="1:3" ht="15">
      <c r="A51">
        <v>27</v>
      </c>
      <c r="B51" s="42" t="s">
        <v>225</v>
      </c>
      <c r="C51" s="42" t="s">
        <v>32</v>
      </c>
    </row>
    <row r="52" spans="1:3" ht="15">
      <c r="A52">
        <v>28</v>
      </c>
      <c r="B52" s="37" t="s">
        <v>211</v>
      </c>
      <c r="C52" s="37" t="s">
        <v>37</v>
      </c>
    </row>
    <row r="53" spans="1:3" ht="45">
      <c r="A53">
        <v>29</v>
      </c>
      <c r="B53" s="37" t="s">
        <v>212</v>
      </c>
      <c r="C53" s="37" t="s">
        <v>307</v>
      </c>
    </row>
    <row r="54" spans="1:3" ht="15">
      <c r="A54">
        <v>30</v>
      </c>
      <c r="B54" s="37" t="s">
        <v>226</v>
      </c>
      <c r="C54" s="37" t="s">
        <v>38</v>
      </c>
    </row>
    <row r="55" spans="1:3" ht="15">
      <c r="A55">
        <v>31</v>
      </c>
      <c r="B55" s="36" t="s">
        <v>225</v>
      </c>
      <c r="C55" s="36" t="s">
        <v>32</v>
      </c>
    </row>
    <row r="56" spans="1:3" ht="15">
      <c r="A56">
        <v>32</v>
      </c>
      <c r="B56" s="37" t="s">
        <v>353</v>
      </c>
      <c r="C56" s="37" t="s">
        <v>348</v>
      </c>
    </row>
    <row r="57" spans="1:3" ht="15">
      <c r="A57">
        <v>33</v>
      </c>
      <c r="B57" s="37" t="s">
        <v>354</v>
      </c>
      <c r="C57" s="37" t="s">
        <v>349</v>
      </c>
    </row>
    <row r="58" spans="1:3" ht="15">
      <c r="A58">
        <v>34</v>
      </c>
      <c r="B58" s="40"/>
      <c r="C58" s="40"/>
    </row>
    <row r="59" spans="1:3" ht="15">
      <c r="A59">
        <v>35</v>
      </c>
      <c r="B59" s="42" t="s">
        <v>227</v>
      </c>
      <c r="C59" s="42" t="s">
        <v>39</v>
      </c>
    </row>
    <row r="60" spans="1:3" ht="30">
      <c r="A60">
        <v>36</v>
      </c>
      <c r="B60" s="37" t="s">
        <v>213</v>
      </c>
      <c r="C60" s="37" t="s">
        <v>309</v>
      </c>
    </row>
    <row r="61" spans="1:3" ht="30">
      <c r="A61">
        <v>37</v>
      </c>
      <c r="B61" s="37" t="s">
        <v>214</v>
      </c>
      <c r="C61" s="37" t="s">
        <v>308</v>
      </c>
    </row>
    <row r="62" spans="2:3" ht="15">
      <c r="B62" s="66"/>
      <c r="C62" s="41"/>
    </row>
    <row r="63" spans="1:3" s="78" customFormat="1" ht="15">
      <c r="A63" s="77" t="s">
        <v>274</v>
      </c>
      <c r="B63" s="77" t="s">
        <v>169</v>
      </c>
      <c r="C63" s="77" t="s">
        <v>163</v>
      </c>
    </row>
    <row r="64" spans="1:3" ht="15">
      <c r="A64">
        <v>1</v>
      </c>
      <c r="B64" t="s">
        <v>152</v>
      </c>
      <c r="C64" t="s">
        <v>297</v>
      </c>
    </row>
    <row r="65" spans="1:3" ht="15">
      <c r="A65">
        <v>2</v>
      </c>
      <c r="B65" s="68" t="s">
        <v>180</v>
      </c>
      <c r="C65" s="68" t="s">
        <v>40</v>
      </c>
    </row>
    <row r="66" spans="1:3" ht="15">
      <c r="A66">
        <v>3</v>
      </c>
      <c r="B66" s="68" t="s">
        <v>181</v>
      </c>
      <c r="C66" s="68" t="s">
        <v>41</v>
      </c>
    </row>
    <row r="67" spans="1:3" ht="15">
      <c r="A67">
        <v>4</v>
      </c>
      <c r="B67" s="68" t="s">
        <v>182</v>
      </c>
      <c r="C67" s="68" t="s">
        <v>42</v>
      </c>
    </row>
    <row r="68" spans="1:3" ht="15">
      <c r="A68">
        <v>5</v>
      </c>
      <c r="B68" s="68" t="s">
        <v>176</v>
      </c>
      <c r="C68" s="68" t="s">
        <v>43</v>
      </c>
    </row>
    <row r="69" spans="1:3" ht="15">
      <c r="A69">
        <v>6</v>
      </c>
      <c r="B69" s="63" t="s">
        <v>183</v>
      </c>
      <c r="C69" s="63" t="s">
        <v>44</v>
      </c>
    </row>
    <row r="70" spans="1:3" ht="15">
      <c r="A70">
        <v>7</v>
      </c>
      <c r="B70" s="69" t="s">
        <v>171</v>
      </c>
      <c r="C70" s="69" t="s">
        <v>45</v>
      </c>
    </row>
    <row r="71" spans="1:3" ht="15">
      <c r="A71">
        <v>8</v>
      </c>
      <c r="B71" s="68" t="s">
        <v>177</v>
      </c>
      <c r="C71" s="68" t="s">
        <v>46</v>
      </c>
    </row>
    <row r="72" spans="1:3" ht="15">
      <c r="A72">
        <v>9</v>
      </c>
      <c r="B72" s="68" t="s">
        <v>178</v>
      </c>
      <c r="C72" s="68" t="s">
        <v>47</v>
      </c>
    </row>
    <row r="73" spans="1:3" ht="15">
      <c r="A73">
        <v>10</v>
      </c>
      <c r="B73" s="68" t="s">
        <v>176</v>
      </c>
      <c r="C73" s="68" t="s">
        <v>43</v>
      </c>
    </row>
    <row r="74" spans="1:3" ht="15">
      <c r="A74">
        <v>11</v>
      </c>
      <c r="B74" s="68" t="s">
        <v>179</v>
      </c>
      <c r="C74" s="68" t="s">
        <v>48</v>
      </c>
    </row>
    <row r="75" spans="1:3" ht="15">
      <c r="A75">
        <v>12</v>
      </c>
      <c r="B75" s="69" t="s">
        <v>172</v>
      </c>
      <c r="C75" s="69" t="s">
        <v>49</v>
      </c>
    </row>
    <row r="76" spans="1:3" ht="15">
      <c r="A76">
        <v>13</v>
      </c>
      <c r="B76" s="70" t="s">
        <v>175</v>
      </c>
      <c r="C76" s="70" t="s">
        <v>50</v>
      </c>
    </row>
    <row r="77" spans="1:3" ht="15">
      <c r="A77">
        <v>14</v>
      </c>
      <c r="B77" s="71" t="s">
        <v>184</v>
      </c>
      <c r="C77" s="71" t="s">
        <v>51</v>
      </c>
    </row>
    <row r="78" spans="1:3" ht="15">
      <c r="A78">
        <v>15</v>
      </c>
      <c r="B78" s="71" t="s">
        <v>185</v>
      </c>
      <c r="C78" s="71" t="s">
        <v>52</v>
      </c>
    </row>
    <row r="79" spans="1:3" ht="15">
      <c r="A79">
        <v>16</v>
      </c>
      <c r="B79" s="72" t="s">
        <v>286</v>
      </c>
      <c r="C79" s="71" t="s">
        <v>53</v>
      </c>
    </row>
    <row r="80" spans="1:3" ht="15">
      <c r="A80">
        <v>17</v>
      </c>
      <c r="B80" s="71" t="s">
        <v>192</v>
      </c>
      <c r="C80" s="71" t="s">
        <v>54</v>
      </c>
    </row>
    <row r="81" spans="1:3" ht="15">
      <c r="A81">
        <v>18</v>
      </c>
      <c r="B81" s="71" t="s">
        <v>197</v>
      </c>
      <c r="C81" s="71" t="s">
        <v>55</v>
      </c>
    </row>
    <row r="82" spans="1:3" ht="15">
      <c r="A82">
        <v>19</v>
      </c>
      <c r="B82" s="73" t="s">
        <v>193</v>
      </c>
      <c r="C82" s="73" t="s">
        <v>310</v>
      </c>
    </row>
    <row r="83" spans="1:3" ht="15">
      <c r="A83">
        <v>20</v>
      </c>
      <c r="B83" s="74" t="s">
        <v>194</v>
      </c>
      <c r="C83" s="74" t="s">
        <v>56</v>
      </c>
    </row>
    <row r="84" spans="1:3" ht="15">
      <c r="A84">
        <v>21</v>
      </c>
      <c r="B84" s="71" t="s">
        <v>195</v>
      </c>
      <c r="C84" s="71" t="s">
        <v>57</v>
      </c>
    </row>
    <row r="85" spans="1:3" ht="15">
      <c r="A85">
        <v>22</v>
      </c>
      <c r="B85" s="71" t="s">
        <v>196</v>
      </c>
      <c r="C85" s="71" t="s">
        <v>58</v>
      </c>
    </row>
    <row r="86" spans="1:3" ht="15">
      <c r="A86">
        <v>23</v>
      </c>
      <c r="B86" s="71" t="s">
        <v>188</v>
      </c>
      <c r="C86" s="71" t="s">
        <v>62</v>
      </c>
    </row>
    <row r="87" spans="1:3" ht="15">
      <c r="A87">
        <v>24</v>
      </c>
      <c r="B87" s="71" t="s">
        <v>186</v>
      </c>
      <c r="C87" s="71" t="s">
        <v>59</v>
      </c>
    </row>
    <row r="88" spans="1:3" ht="15">
      <c r="A88">
        <v>25</v>
      </c>
      <c r="B88" s="71" t="s">
        <v>187</v>
      </c>
      <c r="C88" s="71" t="s">
        <v>60</v>
      </c>
    </row>
    <row r="89" spans="1:3" ht="15">
      <c r="A89">
        <v>26</v>
      </c>
      <c r="B89" s="74" t="s">
        <v>173</v>
      </c>
      <c r="C89" s="74" t="s">
        <v>61</v>
      </c>
    </row>
    <row r="90" spans="1:3" ht="15">
      <c r="A90">
        <v>27</v>
      </c>
      <c r="B90" s="71" t="s">
        <v>188</v>
      </c>
      <c r="C90" s="71" t="s">
        <v>62</v>
      </c>
    </row>
    <row r="91" spans="1:3" ht="15">
      <c r="A91">
        <v>28</v>
      </c>
      <c r="B91" s="71" t="s">
        <v>186</v>
      </c>
      <c r="C91" s="71" t="s">
        <v>59</v>
      </c>
    </row>
    <row r="92" spans="1:3" ht="15">
      <c r="A92">
        <v>29</v>
      </c>
      <c r="B92" s="71" t="s">
        <v>189</v>
      </c>
      <c r="C92" s="71" t="s">
        <v>63</v>
      </c>
    </row>
    <row r="93" spans="1:3" ht="15">
      <c r="A93">
        <v>30</v>
      </c>
      <c r="B93" s="71" t="s">
        <v>190</v>
      </c>
      <c r="C93" s="71" t="s">
        <v>64</v>
      </c>
    </row>
    <row r="94" spans="1:3" ht="15">
      <c r="A94">
        <v>31</v>
      </c>
      <c r="B94" s="71" t="s">
        <v>187</v>
      </c>
      <c r="C94" s="71" t="s">
        <v>60</v>
      </c>
    </row>
    <row r="95" spans="1:3" ht="15">
      <c r="A95">
        <v>32</v>
      </c>
      <c r="B95" s="74" t="s">
        <v>191</v>
      </c>
      <c r="C95" s="74" t="s">
        <v>65</v>
      </c>
    </row>
    <row r="96" spans="1:3" ht="15">
      <c r="A96">
        <v>33</v>
      </c>
      <c r="B96" s="74" t="s">
        <v>174</v>
      </c>
      <c r="C96" s="74" t="s">
        <v>66</v>
      </c>
    </row>
    <row r="97" spans="1:3" ht="15">
      <c r="A97">
        <v>34</v>
      </c>
      <c r="B97" s="75" t="s">
        <v>279</v>
      </c>
      <c r="C97" s="75" t="s">
        <v>67</v>
      </c>
    </row>
    <row r="98" spans="1:3" ht="15">
      <c r="A98">
        <v>35</v>
      </c>
      <c r="B98" s="71" t="s">
        <v>312</v>
      </c>
      <c r="C98" s="71" t="s">
        <v>300</v>
      </c>
    </row>
    <row r="99" spans="1:3" ht="15">
      <c r="A99">
        <v>36</v>
      </c>
      <c r="B99" s="89" t="s">
        <v>317</v>
      </c>
      <c r="C99" t="s">
        <v>318</v>
      </c>
    </row>
    <row r="100" spans="1:3" s="78" customFormat="1" ht="15">
      <c r="A100" s="77" t="s">
        <v>170</v>
      </c>
      <c r="B100" s="77" t="s">
        <v>170</v>
      </c>
      <c r="C100" s="77" t="s">
        <v>164</v>
      </c>
    </row>
    <row r="101" spans="1:3" ht="15">
      <c r="A101">
        <v>1</v>
      </c>
      <c r="B101" t="s">
        <v>152</v>
      </c>
      <c r="C101" t="s">
        <v>297</v>
      </c>
    </row>
    <row r="102" spans="1:3" ht="15">
      <c r="A102">
        <v>2</v>
      </c>
      <c r="B102" s="49" t="s">
        <v>228</v>
      </c>
      <c r="C102" s="49" t="s">
        <v>68</v>
      </c>
    </row>
    <row r="103" spans="1:3" ht="15">
      <c r="A103">
        <v>3</v>
      </c>
      <c r="B103" s="50" t="s">
        <v>229</v>
      </c>
      <c r="C103" s="50" t="s">
        <v>106</v>
      </c>
    </row>
    <row r="104" spans="1:3" ht="15">
      <c r="A104">
        <v>4</v>
      </c>
      <c r="B104" s="51" t="s">
        <v>236</v>
      </c>
      <c r="C104" s="51" t="s">
        <v>69</v>
      </c>
    </row>
    <row r="105" spans="1:3" ht="15">
      <c r="A105">
        <v>5</v>
      </c>
      <c r="B105" s="51" t="s">
        <v>237</v>
      </c>
      <c r="C105" s="51" t="s">
        <v>70</v>
      </c>
    </row>
    <row r="106" spans="1:3" ht="15">
      <c r="A106">
        <v>6</v>
      </c>
      <c r="B106" s="51" t="s">
        <v>206</v>
      </c>
      <c r="C106" s="51" t="s">
        <v>30</v>
      </c>
    </row>
    <row r="107" spans="1:3" ht="15">
      <c r="A107">
        <v>7</v>
      </c>
      <c r="B107" s="51" t="s">
        <v>231</v>
      </c>
      <c r="C107" s="51" t="s">
        <v>71</v>
      </c>
    </row>
    <row r="108" spans="1:3" ht="15">
      <c r="A108">
        <v>8</v>
      </c>
      <c r="B108" s="51" t="s">
        <v>281</v>
      </c>
      <c r="C108" s="51" t="s">
        <v>72</v>
      </c>
    </row>
    <row r="109" spans="1:3" ht="15">
      <c r="A109">
        <v>9</v>
      </c>
      <c r="B109" s="51" t="s">
        <v>232</v>
      </c>
      <c r="C109" s="51" t="s">
        <v>73</v>
      </c>
    </row>
    <row r="110" spans="1:3" ht="15">
      <c r="A110">
        <v>10</v>
      </c>
      <c r="B110" s="51" t="s">
        <v>238</v>
      </c>
      <c r="C110" s="51" t="s">
        <v>74</v>
      </c>
    </row>
    <row r="111" spans="1:3" ht="15">
      <c r="A111">
        <v>11</v>
      </c>
      <c r="B111" s="51" t="s">
        <v>239</v>
      </c>
      <c r="C111" s="51" t="s">
        <v>75</v>
      </c>
    </row>
    <row r="112" spans="1:3" ht="15">
      <c r="A112">
        <v>12</v>
      </c>
      <c r="B112" s="51" t="s">
        <v>240</v>
      </c>
      <c r="C112" s="51" t="s">
        <v>76</v>
      </c>
    </row>
    <row r="113" spans="1:3" ht="15">
      <c r="A113">
        <v>13</v>
      </c>
      <c r="B113" s="51" t="s">
        <v>230</v>
      </c>
      <c r="C113" s="51" t="s">
        <v>77</v>
      </c>
    </row>
    <row r="114" spans="1:3" ht="15">
      <c r="A114">
        <v>14</v>
      </c>
      <c r="B114" s="52" t="s">
        <v>241</v>
      </c>
      <c r="C114" s="52" t="s">
        <v>78</v>
      </c>
    </row>
    <row r="115" spans="1:3" ht="15">
      <c r="A115">
        <v>15</v>
      </c>
      <c r="B115" s="52" t="s">
        <v>242</v>
      </c>
      <c r="C115" s="52" t="s">
        <v>79</v>
      </c>
    </row>
    <row r="116" spans="1:3" ht="15">
      <c r="A116">
        <v>16</v>
      </c>
      <c r="B116" s="52" t="s">
        <v>247</v>
      </c>
      <c r="C116" s="52" t="s">
        <v>127</v>
      </c>
    </row>
    <row r="117" spans="1:3" ht="15">
      <c r="A117">
        <v>17</v>
      </c>
      <c r="B117" s="51" t="s">
        <v>243</v>
      </c>
      <c r="C117" s="51" t="s">
        <v>126</v>
      </c>
    </row>
    <row r="118" spans="1:3" ht="15">
      <c r="A118">
        <v>18</v>
      </c>
      <c r="B118" s="51" t="s">
        <v>244</v>
      </c>
      <c r="C118" s="51" t="s">
        <v>80</v>
      </c>
    </row>
    <row r="119" spans="1:3" ht="15">
      <c r="A119">
        <v>19</v>
      </c>
      <c r="B119" s="51" t="s">
        <v>248</v>
      </c>
      <c r="C119" s="51" t="s">
        <v>55</v>
      </c>
    </row>
    <row r="120" spans="1:3" ht="15">
      <c r="A120">
        <v>20</v>
      </c>
      <c r="B120" s="52" t="s">
        <v>245</v>
      </c>
      <c r="C120" s="52" t="s">
        <v>81</v>
      </c>
    </row>
    <row r="121" spans="1:3" ht="15">
      <c r="A121">
        <v>21</v>
      </c>
      <c r="B121" s="51" t="s">
        <v>246</v>
      </c>
      <c r="C121" s="51" t="s">
        <v>82</v>
      </c>
    </row>
    <row r="122" spans="1:3" ht="15">
      <c r="A122">
        <v>22</v>
      </c>
      <c r="B122" s="51" t="s">
        <v>249</v>
      </c>
      <c r="C122" s="51" t="s">
        <v>83</v>
      </c>
    </row>
    <row r="123" spans="1:3" ht="15">
      <c r="A123">
        <v>23</v>
      </c>
      <c r="B123" s="51" t="s">
        <v>219</v>
      </c>
      <c r="C123" s="51" t="s">
        <v>84</v>
      </c>
    </row>
    <row r="124" spans="1:3" ht="15">
      <c r="A124">
        <v>24</v>
      </c>
      <c r="B124" s="50"/>
      <c r="C124" s="50"/>
    </row>
    <row r="125" spans="1:3" ht="15">
      <c r="A125">
        <v>25</v>
      </c>
      <c r="B125" s="50" t="s">
        <v>233</v>
      </c>
      <c r="C125" s="50" t="s">
        <v>85</v>
      </c>
    </row>
    <row r="126" spans="1:3" ht="15">
      <c r="A126">
        <v>26</v>
      </c>
      <c r="B126" s="51" t="s">
        <v>250</v>
      </c>
      <c r="C126" s="51" t="s">
        <v>86</v>
      </c>
    </row>
    <row r="127" spans="1:3" ht="15">
      <c r="A127">
        <v>27</v>
      </c>
      <c r="B127" s="51" t="s">
        <v>251</v>
      </c>
      <c r="C127" s="51" t="s">
        <v>87</v>
      </c>
    </row>
    <row r="128" spans="1:3" ht="15">
      <c r="A128">
        <v>28</v>
      </c>
      <c r="B128" s="51" t="s">
        <v>252</v>
      </c>
      <c r="C128" s="51" t="s">
        <v>88</v>
      </c>
    </row>
    <row r="129" spans="1:3" ht="15">
      <c r="A129">
        <v>29</v>
      </c>
      <c r="B129" s="51" t="s">
        <v>253</v>
      </c>
      <c r="C129" s="51" t="s">
        <v>89</v>
      </c>
    </row>
    <row r="130" spans="1:3" ht="15">
      <c r="A130">
        <v>30</v>
      </c>
      <c r="B130" s="52" t="s">
        <v>254</v>
      </c>
      <c r="C130" s="52" t="s">
        <v>90</v>
      </c>
    </row>
    <row r="131" spans="1:3" ht="15">
      <c r="A131">
        <v>31</v>
      </c>
      <c r="B131" s="60" t="s">
        <v>332</v>
      </c>
      <c r="C131" s="60" t="s">
        <v>329</v>
      </c>
    </row>
    <row r="132" spans="1:3" ht="15">
      <c r="A132">
        <v>32</v>
      </c>
      <c r="B132" s="51" t="s">
        <v>343</v>
      </c>
      <c r="C132" s="51" t="s">
        <v>344</v>
      </c>
    </row>
    <row r="133" spans="1:3" ht="15">
      <c r="A133">
        <v>33</v>
      </c>
      <c r="B133" s="51" t="s">
        <v>261</v>
      </c>
      <c r="C133" s="51" t="s">
        <v>92</v>
      </c>
    </row>
    <row r="134" spans="1:3" ht="15">
      <c r="A134">
        <v>34</v>
      </c>
      <c r="B134" s="60" t="s">
        <v>331</v>
      </c>
      <c r="C134" s="51" t="s">
        <v>330</v>
      </c>
    </row>
    <row r="135" spans="1:3" ht="15">
      <c r="A135">
        <v>35</v>
      </c>
      <c r="B135" s="51" t="s">
        <v>262</v>
      </c>
      <c r="C135" s="51" t="s">
        <v>128</v>
      </c>
    </row>
    <row r="136" spans="1:3" ht="15">
      <c r="A136">
        <v>36</v>
      </c>
      <c r="B136" s="51" t="s">
        <v>263</v>
      </c>
      <c r="C136" s="51" t="s">
        <v>93</v>
      </c>
    </row>
    <row r="137" spans="1:3" ht="15">
      <c r="A137">
        <v>37</v>
      </c>
      <c r="B137" s="50"/>
      <c r="C137" s="50"/>
    </row>
    <row r="138" spans="1:3" ht="15">
      <c r="A138">
        <v>38</v>
      </c>
      <c r="B138" s="50" t="s">
        <v>234</v>
      </c>
      <c r="C138" s="50" t="s">
        <v>94</v>
      </c>
    </row>
    <row r="139" spans="1:3" ht="15">
      <c r="A139">
        <v>39</v>
      </c>
      <c r="B139" s="51" t="s">
        <v>264</v>
      </c>
      <c r="C139" s="51" t="s">
        <v>95</v>
      </c>
    </row>
    <row r="140" spans="1:3" ht="15">
      <c r="A140">
        <v>40</v>
      </c>
      <c r="B140" s="51" t="s">
        <v>265</v>
      </c>
      <c r="C140" s="51" t="s">
        <v>96</v>
      </c>
    </row>
    <row r="141" spans="1:3" ht="15">
      <c r="A141">
        <v>41</v>
      </c>
      <c r="B141" s="52" t="s">
        <v>266</v>
      </c>
      <c r="C141" s="52" t="s">
        <v>97</v>
      </c>
    </row>
    <row r="142" spans="1:3" ht="15">
      <c r="A142">
        <v>42</v>
      </c>
      <c r="B142" s="51" t="s">
        <v>352</v>
      </c>
      <c r="C142" s="51" t="s">
        <v>351</v>
      </c>
    </row>
    <row r="143" spans="1:3" ht="15">
      <c r="A143">
        <v>43</v>
      </c>
      <c r="B143" s="51" t="s">
        <v>256</v>
      </c>
      <c r="C143" s="51" t="s">
        <v>98</v>
      </c>
    </row>
    <row r="144" spans="1:3" ht="15">
      <c r="A144">
        <v>44</v>
      </c>
      <c r="B144" s="51" t="s">
        <v>257</v>
      </c>
      <c r="C144" s="51" t="s">
        <v>99</v>
      </c>
    </row>
    <row r="145" spans="1:3" ht="15">
      <c r="A145">
        <v>45</v>
      </c>
      <c r="B145" s="51" t="s">
        <v>258</v>
      </c>
      <c r="C145" s="51" t="s">
        <v>100</v>
      </c>
    </row>
    <row r="146" spans="1:3" ht="15">
      <c r="A146">
        <v>46</v>
      </c>
      <c r="B146" s="51" t="s">
        <v>259</v>
      </c>
      <c r="C146" s="51" t="s">
        <v>101</v>
      </c>
    </row>
    <row r="147" spans="1:3" ht="15">
      <c r="A147">
        <v>47</v>
      </c>
      <c r="B147" s="51" t="s">
        <v>355</v>
      </c>
      <c r="C147" s="51" t="s">
        <v>303</v>
      </c>
    </row>
    <row r="148" spans="1:3" ht="15">
      <c r="A148">
        <v>48</v>
      </c>
      <c r="B148" s="51" t="s">
        <v>356</v>
      </c>
      <c r="C148" s="51" t="s">
        <v>333</v>
      </c>
    </row>
    <row r="149" spans="1:3" ht="15">
      <c r="A149">
        <v>49</v>
      </c>
      <c r="B149" s="50"/>
      <c r="C149" s="50"/>
    </row>
    <row r="150" spans="1:3" ht="15">
      <c r="A150">
        <v>50</v>
      </c>
      <c r="B150" s="50" t="s">
        <v>260</v>
      </c>
      <c r="C150" s="50" t="s">
        <v>102</v>
      </c>
    </row>
    <row r="151" spans="1:3" ht="15">
      <c r="A151">
        <v>51</v>
      </c>
      <c r="B151" s="51" t="s">
        <v>235</v>
      </c>
      <c r="C151" s="51" t="s">
        <v>103</v>
      </c>
    </row>
    <row r="152" spans="1:3" ht="15">
      <c r="A152">
        <v>52</v>
      </c>
      <c r="B152" s="51" t="s">
        <v>267</v>
      </c>
      <c r="C152" s="51" t="s">
        <v>104</v>
      </c>
    </row>
    <row r="153" spans="1:3" ht="15">
      <c r="A153">
        <v>53</v>
      </c>
      <c r="B153" s="50" t="s">
        <v>268</v>
      </c>
      <c r="C153" s="50" t="s">
        <v>105</v>
      </c>
    </row>
    <row r="154" spans="1:3" ht="15">
      <c r="A154">
        <v>54</v>
      </c>
      <c r="B154" t="s">
        <v>313</v>
      </c>
      <c r="C154" s="51" t="s">
        <v>302</v>
      </c>
    </row>
    <row r="156" spans="2:3" s="77" customFormat="1" ht="15">
      <c r="B156" s="77" t="s">
        <v>291</v>
      </c>
      <c r="C156" s="77" t="s">
        <v>165</v>
      </c>
    </row>
    <row r="157" spans="1:3" ht="15">
      <c r="A157">
        <v>1</v>
      </c>
      <c r="B157" t="s">
        <v>152</v>
      </c>
      <c r="C157" t="s">
        <v>297</v>
      </c>
    </row>
    <row r="158" spans="1:3" ht="15">
      <c r="A158">
        <v>2</v>
      </c>
      <c r="B158" s="36" t="s">
        <v>198</v>
      </c>
      <c r="C158" s="36" t="s">
        <v>16</v>
      </c>
    </row>
    <row r="159" spans="1:3" ht="15">
      <c r="A159">
        <v>3</v>
      </c>
      <c r="B159" s="37" t="s">
        <v>215</v>
      </c>
      <c r="C159" s="37" t="s">
        <v>17</v>
      </c>
    </row>
    <row r="160" spans="1:3" ht="15">
      <c r="A160">
        <v>4</v>
      </c>
      <c r="B160" s="37" t="s">
        <v>199</v>
      </c>
      <c r="C160" s="37" t="s">
        <v>18</v>
      </c>
    </row>
    <row r="161" spans="1:3" ht="15">
      <c r="A161">
        <v>5</v>
      </c>
      <c r="B161" s="37" t="s">
        <v>200</v>
      </c>
      <c r="C161" s="37" t="s">
        <v>19</v>
      </c>
    </row>
    <row r="162" spans="1:3" ht="15">
      <c r="A162">
        <v>6</v>
      </c>
      <c r="B162" s="37" t="s">
        <v>216</v>
      </c>
      <c r="C162" s="37" t="s">
        <v>20</v>
      </c>
    </row>
    <row r="163" spans="1:3" ht="15">
      <c r="A163">
        <v>7</v>
      </c>
      <c r="B163" s="38" t="s">
        <v>221</v>
      </c>
      <c r="C163" s="38" t="s">
        <v>21</v>
      </c>
    </row>
    <row r="164" spans="1:3" ht="15">
      <c r="A164">
        <v>8</v>
      </c>
      <c r="B164" s="39" t="s">
        <v>222</v>
      </c>
      <c r="C164" s="39" t="s">
        <v>22</v>
      </c>
    </row>
    <row r="165" spans="1:3" ht="15">
      <c r="A165">
        <v>9</v>
      </c>
      <c r="B165" s="36" t="s">
        <v>201</v>
      </c>
      <c r="C165" s="36" t="s">
        <v>23</v>
      </c>
    </row>
    <row r="166" spans="1:3" ht="15">
      <c r="A166">
        <v>10</v>
      </c>
      <c r="B166" s="40" t="s">
        <v>217</v>
      </c>
      <c r="C166" s="40" t="s">
        <v>24</v>
      </c>
    </row>
    <row r="167" spans="1:3" ht="15">
      <c r="A167">
        <v>11</v>
      </c>
      <c r="B167" s="40" t="s">
        <v>218</v>
      </c>
      <c r="C167" s="40" t="s">
        <v>25</v>
      </c>
    </row>
    <row r="168" spans="1:3" ht="15">
      <c r="A168">
        <v>12</v>
      </c>
      <c r="B168" s="39" t="s">
        <v>202</v>
      </c>
      <c r="C168" s="39" t="s">
        <v>26</v>
      </c>
    </row>
    <row r="169" spans="1:3" ht="15">
      <c r="A169">
        <v>13</v>
      </c>
      <c r="B169" s="40" t="s">
        <v>203</v>
      </c>
      <c r="C169" s="40" t="s">
        <v>27</v>
      </c>
    </row>
    <row r="170" spans="1:3" ht="15">
      <c r="A170">
        <v>14</v>
      </c>
      <c r="B170" s="40" t="s">
        <v>220</v>
      </c>
      <c r="C170" s="40" t="s">
        <v>28</v>
      </c>
    </row>
    <row r="171" spans="1:3" ht="15">
      <c r="A171">
        <v>15</v>
      </c>
      <c r="B171" s="36" t="s">
        <v>204</v>
      </c>
      <c r="C171" s="36" t="s">
        <v>304</v>
      </c>
    </row>
    <row r="172" spans="1:3" ht="15">
      <c r="A172">
        <v>16</v>
      </c>
      <c r="B172" s="36" t="s">
        <v>205</v>
      </c>
      <c r="C172" s="36" t="s">
        <v>29</v>
      </c>
    </row>
    <row r="173" spans="1:3" ht="15">
      <c r="A173">
        <v>17</v>
      </c>
      <c r="B173" s="37" t="s">
        <v>206</v>
      </c>
      <c r="C173" s="37" t="s">
        <v>30</v>
      </c>
    </row>
    <row r="174" spans="1:3" ht="15">
      <c r="A174">
        <v>18</v>
      </c>
      <c r="B174" s="36" t="s">
        <v>207</v>
      </c>
      <c r="C174" s="36" t="s">
        <v>31</v>
      </c>
    </row>
    <row r="175" spans="1:3" ht="15">
      <c r="A175">
        <v>19</v>
      </c>
      <c r="B175" s="37" t="s">
        <v>225</v>
      </c>
      <c r="C175" s="37" t="s">
        <v>33</v>
      </c>
    </row>
    <row r="176" spans="1:3" ht="15">
      <c r="A176">
        <v>20</v>
      </c>
      <c r="B176" s="36" t="s">
        <v>227</v>
      </c>
      <c r="C176" s="36" t="s">
        <v>39</v>
      </c>
    </row>
    <row r="177" spans="1:3" ht="15">
      <c r="A177">
        <v>21</v>
      </c>
      <c r="B177" s="53" t="s">
        <v>269</v>
      </c>
      <c r="C177" s="53" t="s">
        <v>117</v>
      </c>
    </row>
    <row r="178" spans="1:3" ht="15">
      <c r="A178">
        <v>22</v>
      </c>
      <c r="B178" s="53" t="s">
        <v>270</v>
      </c>
      <c r="C178" s="53" t="s">
        <v>118</v>
      </c>
    </row>
    <row r="180" spans="2:3" s="77" customFormat="1" ht="15">
      <c r="B180" s="77" t="s">
        <v>288</v>
      </c>
      <c r="C180" s="77" t="s">
        <v>166</v>
      </c>
    </row>
    <row r="181" spans="1:3" ht="15">
      <c r="A181">
        <v>1</v>
      </c>
      <c r="B181" t="s">
        <v>152</v>
      </c>
      <c r="C181" t="s">
        <v>297</v>
      </c>
    </row>
    <row r="182" spans="1:3" ht="15">
      <c r="A182">
        <v>2</v>
      </c>
      <c r="B182" s="43" t="s">
        <v>180</v>
      </c>
      <c r="C182" s="43" t="s">
        <v>40</v>
      </c>
    </row>
    <row r="183" spans="1:3" ht="15">
      <c r="A183">
        <v>3</v>
      </c>
      <c r="B183" s="43" t="s">
        <v>181</v>
      </c>
      <c r="C183" s="43" t="s">
        <v>41</v>
      </c>
    </row>
    <row r="184" spans="1:3" ht="15">
      <c r="A184">
        <v>4</v>
      </c>
      <c r="B184" s="43" t="s">
        <v>182</v>
      </c>
      <c r="C184" s="43" t="s">
        <v>42</v>
      </c>
    </row>
    <row r="185" spans="1:3" ht="15">
      <c r="A185">
        <v>5</v>
      </c>
      <c r="B185" s="43" t="s">
        <v>176</v>
      </c>
      <c r="C185" s="43" t="s">
        <v>43</v>
      </c>
    </row>
    <row r="186" spans="1:3" ht="15">
      <c r="A186">
        <v>6</v>
      </c>
      <c r="B186" s="43" t="s">
        <v>275</v>
      </c>
      <c r="C186" s="43" t="s">
        <v>115</v>
      </c>
    </row>
    <row r="187" spans="1:3" ht="15">
      <c r="A187">
        <v>7</v>
      </c>
      <c r="B187" s="43" t="s">
        <v>183</v>
      </c>
      <c r="C187" s="38" t="s">
        <v>44</v>
      </c>
    </row>
    <row r="188" spans="1:3" ht="15">
      <c r="A188">
        <v>8</v>
      </c>
      <c r="B188" s="44" t="s">
        <v>171</v>
      </c>
      <c r="C188" s="44" t="s">
        <v>45</v>
      </c>
    </row>
    <row r="189" spans="1:3" ht="15">
      <c r="A189">
        <v>9</v>
      </c>
      <c r="B189" s="43" t="s">
        <v>177</v>
      </c>
      <c r="C189" s="43" t="s">
        <v>46</v>
      </c>
    </row>
    <row r="190" spans="1:3" ht="15">
      <c r="A190">
        <v>10</v>
      </c>
      <c r="B190" s="43" t="s">
        <v>276</v>
      </c>
      <c r="C190" s="43" t="s">
        <v>47</v>
      </c>
    </row>
    <row r="191" spans="1:3" ht="15">
      <c r="A191">
        <v>11</v>
      </c>
      <c r="B191" s="43" t="s">
        <v>277</v>
      </c>
      <c r="C191" s="43" t="s">
        <v>132</v>
      </c>
    </row>
    <row r="192" spans="1:3" ht="15">
      <c r="A192">
        <v>12</v>
      </c>
      <c r="B192" s="43" t="s">
        <v>176</v>
      </c>
      <c r="C192" s="43" t="s">
        <v>43</v>
      </c>
    </row>
    <row r="193" spans="1:3" ht="15">
      <c r="A193">
        <v>13</v>
      </c>
      <c r="B193" s="43" t="s">
        <v>179</v>
      </c>
      <c r="C193" s="43" t="s">
        <v>48</v>
      </c>
    </row>
    <row r="194" spans="1:3" ht="15">
      <c r="A194">
        <v>14</v>
      </c>
      <c r="B194" s="44" t="s">
        <v>172</v>
      </c>
      <c r="C194" s="44" t="s">
        <v>49</v>
      </c>
    </row>
    <row r="195" spans="1:3" ht="15">
      <c r="A195">
        <v>15</v>
      </c>
      <c r="B195" s="45" t="s">
        <v>175</v>
      </c>
      <c r="C195" s="45" t="s">
        <v>50</v>
      </c>
    </row>
    <row r="196" spans="1:3" ht="15">
      <c r="A196">
        <v>16</v>
      </c>
      <c r="B196" s="59" t="s">
        <v>184</v>
      </c>
      <c r="C196" s="46" t="s">
        <v>51</v>
      </c>
    </row>
    <row r="197" spans="1:3" ht="15">
      <c r="A197">
        <v>17</v>
      </c>
      <c r="B197" s="59" t="s">
        <v>185</v>
      </c>
      <c r="C197" s="46" t="s">
        <v>52</v>
      </c>
    </row>
    <row r="198" spans="1:3" ht="15">
      <c r="A198">
        <v>18</v>
      </c>
      <c r="B198" s="59" t="s">
        <v>286</v>
      </c>
      <c r="C198" s="46" t="s">
        <v>53</v>
      </c>
    </row>
    <row r="199" spans="1:3" ht="15">
      <c r="A199">
        <v>19</v>
      </c>
      <c r="B199" s="59" t="s">
        <v>192</v>
      </c>
      <c r="C199" s="46" t="s">
        <v>54</v>
      </c>
    </row>
    <row r="200" spans="1:3" ht="15">
      <c r="A200">
        <v>20</v>
      </c>
      <c r="B200" s="48" t="s">
        <v>278</v>
      </c>
      <c r="C200" s="47" t="s">
        <v>116</v>
      </c>
    </row>
    <row r="201" spans="1:3" ht="15">
      <c r="A201">
        <v>21</v>
      </c>
      <c r="B201" s="59" t="s">
        <v>195</v>
      </c>
      <c r="C201" s="46" t="s">
        <v>57</v>
      </c>
    </row>
    <row r="202" spans="1:3" ht="15">
      <c r="A202">
        <v>22</v>
      </c>
      <c r="B202" s="59" t="s">
        <v>196</v>
      </c>
      <c r="C202" s="46" t="s">
        <v>58</v>
      </c>
    </row>
    <row r="203" spans="1:3" ht="15">
      <c r="A203">
        <v>23</v>
      </c>
      <c r="B203" s="59" t="s">
        <v>186</v>
      </c>
      <c r="C203" s="59" t="s">
        <v>59</v>
      </c>
    </row>
    <row r="204" spans="1:3" ht="15">
      <c r="A204">
        <v>24</v>
      </c>
      <c r="B204" s="59" t="s">
        <v>187</v>
      </c>
      <c r="C204" s="46" t="s">
        <v>60</v>
      </c>
    </row>
    <row r="205" spans="1:3" ht="15">
      <c r="A205">
        <v>25</v>
      </c>
      <c r="B205" s="48" t="s">
        <v>173</v>
      </c>
      <c r="C205" s="48" t="s">
        <v>61</v>
      </c>
    </row>
    <row r="206" spans="1:3" ht="15">
      <c r="A206">
        <v>26</v>
      </c>
      <c r="B206" s="59" t="s">
        <v>188</v>
      </c>
      <c r="C206" s="46" t="s">
        <v>62</v>
      </c>
    </row>
    <row r="207" spans="1:3" ht="15">
      <c r="A207">
        <v>27</v>
      </c>
      <c r="B207" s="59" t="s">
        <v>186</v>
      </c>
      <c r="C207" s="59" t="s">
        <v>59</v>
      </c>
    </row>
    <row r="208" spans="1:3" ht="15">
      <c r="A208">
        <v>28</v>
      </c>
      <c r="B208" s="59" t="s">
        <v>189</v>
      </c>
      <c r="C208" s="46" t="s">
        <v>63</v>
      </c>
    </row>
    <row r="209" spans="1:3" ht="15">
      <c r="A209">
        <v>29</v>
      </c>
      <c r="B209" s="59" t="s">
        <v>190</v>
      </c>
      <c r="C209" s="46" t="s">
        <v>64</v>
      </c>
    </row>
    <row r="210" spans="1:3" ht="15">
      <c r="A210">
        <v>30</v>
      </c>
      <c r="B210" s="59" t="s">
        <v>187</v>
      </c>
      <c r="C210" s="46" t="s">
        <v>60</v>
      </c>
    </row>
    <row r="211" spans="1:3" ht="15">
      <c r="A211">
        <v>31</v>
      </c>
      <c r="B211" s="48" t="s">
        <v>191</v>
      </c>
      <c r="C211" s="48" t="s">
        <v>65</v>
      </c>
    </row>
    <row r="212" spans="1:3" ht="15">
      <c r="A212">
        <v>32</v>
      </c>
      <c r="B212" s="48" t="s">
        <v>174</v>
      </c>
      <c r="C212" s="48" t="s">
        <v>66</v>
      </c>
    </row>
    <row r="213" spans="1:3" ht="15">
      <c r="A213">
        <v>33</v>
      </c>
      <c r="B213" s="18" t="s">
        <v>279</v>
      </c>
      <c r="C213" s="18" t="s">
        <v>67</v>
      </c>
    </row>
    <row r="214" spans="1:3" ht="15">
      <c r="A214">
        <v>34</v>
      </c>
      <c r="B214" s="59" t="s">
        <v>314</v>
      </c>
      <c r="C214" s="59" t="s">
        <v>311</v>
      </c>
    </row>
    <row r="215" spans="1:3" ht="15">
      <c r="A215">
        <v>35</v>
      </c>
      <c r="B215" s="59" t="s">
        <v>312</v>
      </c>
      <c r="C215" s="59" t="s">
        <v>300</v>
      </c>
    </row>
    <row r="216" spans="1:3" ht="15">
      <c r="A216">
        <v>36</v>
      </c>
      <c r="B216" s="59" t="s">
        <v>314</v>
      </c>
      <c r="C216" s="59" t="s">
        <v>311</v>
      </c>
    </row>
    <row r="217" spans="2:3" ht="15">
      <c r="B217" s="18"/>
      <c r="C217" s="18"/>
    </row>
    <row r="218" spans="2:3" s="77" customFormat="1" ht="15">
      <c r="B218" s="77" t="s">
        <v>289</v>
      </c>
      <c r="C218" s="77" t="s">
        <v>167</v>
      </c>
    </row>
    <row r="219" spans="1:3" ht="15">
      <c r="A219">
        <v>1</v>
      </c>
      <c r="B219" t="s">
        <v>152</v>
      </c>
      <c r="C219" t="s">
        <v>297</v>
      </c>
    </row>
    <row r="220" spans="1:3" ht="15">
      <c r="A220">
        <v>2</v>
      </c>
      <c r="B220" s="49" t="s">
        <v>228</v>
      </c>
      <c r="C220" s="49" t="s">
        <v>68</v>
      </c>
    </row>
    <row r="221" spans="1:3" ht="15">
      <c r="A221">
        <v>3</v>
      </c>
      <c r="B221" s="50" t="s">
        <v>229</v>
      </c>
      <c r="C221" s="50" t="s">
        <v>106</v>
      </c>
    </row>
    <row r="222" spans="1:3" ht="15">
      <c r="A222">
        <v>4</v>
      </c>
      <c r="B222" s="51" t="s">
        <v>236</v>
      </c>
      <c r="C222" s="54" t="s">
        <v>69</v>
      </c>
    </row>
    <row r="223" spans="1:3" ht="15">
      <c r="A223">
        <v>5</v>
      </c>
      <c r="B223" s="51" t="s">
        <v>237</v>
      </c>
      <c r="C223" s="54" t="s">
        <v>70</v>
      </c>
    </row>
    <row r="224" spans="1:3" ht="15">
      <c r="A224">
        <v>6</v>
      </c>
      <c r="B224" s="51" t="s">
        <v>206</v>
      </c>
      <c r="C224" s="54" t="s">
        <v>30</v>
      </c>
    </row>
    <row r="225" spans="1:3" ht="15">
      <c r="A225">
        <v>7</v>
      </c>
      <c r="B225" s="51" t="s">
        <v>231</v>
      </c>
      <c r="C225" s="54" t="s">
        <v>71</v>
      </c>
    </row>
    <row r="226" spans="1:3" ht="15">
      <c r="A226">
        <v>8</v>
      </c>
      <c r="B226" s="51" t="s">
        <v>280</v>
      </c>
      <c r="C226" s="54" t="s">
        <v>72</v>
      </c>
    </row>
    <row r="227" spans="1:3" ht="15">
      <c r="A227">
        <v>9</v>
      </c>
      <c r="B227" s="51" t="s">
        <v>232</v>
      </c>
      <c r="C227" s="54" t="s">
        <v>73</v>
      </c>
    </row>
    <row r="228" spans="1:3" ht="15">
      <c r="A228">
        <v>10</v>
      </c>
      <c r="B228" s="51" t="s">
        <v>238</v>
      </c>
      <c r="C228" s="54" t="s">
        <v>75</v>
      </c>
    </row>
    <row r="229" spans="1:3" ht="15">
      <c r="A229">
        <v>11</v>
      </c>
      <c r="B229" s="51" t="s">
        <v>239</v>
      </c>
      <c r="C229" s="54" t="s">
        <v>76</v>
      </c>
    </row>
    <row r="230" spans="1:3" ht="15">
      <c r="A230">
        <v>12</v>
      </c>
      <c r="B230" s="51" t="s">
        <v>240</v>
      </c>
      <c r="C230" s="54" t="s">
        <v>74</v>
      </c>
    </row>
    <row r="231" spans="1:3" ht="15">
      <c r="A231">
        <v>13</v>
      </c>
      <c r="B231" s="51" t="s">
        <v>230</v>
      </c>
      <c r="C231" s="54" t="s">
        <v>77</v>
      </c>
    </row>
    <row r="232" spans="1:3" ht="15">
      <c r="A232">
        <v>14</v>
      </c>
      <c r="B232" s="52" t="s">
        <v>241</v>
      </c>
      <c r="C232" s="54" t="s">
        <v>119</v>
      </c>
    </row>
    <row r="233" spans="1:3" ht="15">
      <c r="A233">
        <v>15</v>
      </c>
      <c r="B233" s="52" t="s">
        <v>242</v>
      </c>
      <c r="C233" s="54" t="s">
        <v>125</v>
      </c>
    </row>
    <row r="234" spans="1:3" ht="15">
      <c r="A234">
        <v>16</v>
      </c>
      <c r="B234" s="52" t="s">
        <v>247</v>
      </c>
      <c r="C234" s="54" t="s">
        <v>127</v>
      </c>
    </row>
    <row r="235" spans="1:3" ht="15">
      <c r="A235">
        <v>17</v>
      </c>
      <c r="B235" s="51" t="s">
        <v>243</v>
      </c>
      <c r="C235" s="54" t="s">
        <v>126</v>
      </c>
    </row>
    <row r="236" spans="1:3" ht="15">
      <c r="A236">
        <v>18</v>
      </c>
      <c r="B236" s="51" t="s">
        <v>315</v>
      </c>
      <c r="C236" s="54" t="s">
        <v>302</v>
      </c>
    </row>
    <row r="237" spans="1:3" ht="15">
      <c r="A237">
        <v>19</v>
      </c>
      <c r="B237" s="51" t="s">
        <v>248</v>
      </c>
      <c r="C237" s="54" t="s">
        <v>120</v>
      </c>
    </row>
    <row r="238" spans="1:3" ht="15">
      <c r="A238">
        <v>20</v>
      </c>
      <c r="B238" s="52" t="s">
        <v>245</v>
      </c>
      <c r="C238" s="54" t="s">
        <v>121</v>
      </c>
    </row>
    <row r="239" spans="1:3" ht="15">
      <c r="A239">
        <v>21</v>
      </c>
      <c r="B239" s="51" t="s">
        <v>246</v>
      </c>
      <c r="C239" s="54" t="s">
        <v>78</v>
      </c>
    </row>
    <row r="240" spans="1:3" ht="15">
      <c r="A240">
        <v>22</v>
      </c>
      <c r="B240" s="51" t="s">
        <v>249</v>
      </c>
      <c r="C240" s="54" t="s">
        <v>82</v>
      </c>
    </row>
    <row r="241" spans="1:3" ht="15">
      <c r="A241">
        <v>23</v>
      </c>
      <c r="B241" s="51" t="s">
        <v>219</v>
      </c>
      <c r="C241" s="54" t="s">
        <v>21</v>
      </c>
    </row>
    <row r="242" spans="1:3" ht="15">
      <c r="A242">
        <v>24</v>
      </c>
      <c r="B242" s="50"/>
      <c r="C242" s="50"/>
    </row>
    <row r="243" spans="1:3" ht="15">
      <c r="A243">
        <v>25</v>
      </c>
      <c r="B243" s="50" t="s">
        <v>233</v>
      </c>
      <c r="C243" s="50" t="s">
        <v>85</v>
      </c>
    </row>
    <row r="244" spans="1:3" ht="15">
      <c r="A244">
        <v>26</v>
      </c>
      <c r="B244" s="51" t="s">
        <v>250</v>
      </c>
      <c r="C244" s="54" t="s">
        <v>86</v>
      </c>
    </row>
    <row r="245" spans="1:3" ht="15">
      <c r="A245">
        <v>27</v>
      </c>
      <c r="B245" s="51" t="s">
        <v>251</v>
      </c>
      <c r="C245" s="54" t="s">
        <v>87</v>
      </c>
    </row>
    <row r="246" spans="1:3" ht="15">
      <c r="A246">
        <v>28</v>
      </c>
      <c r="B246" s="51" t="s">
        <v>252</v>
      </c>
      <c r="C246" s="54" t="s">
        <v>88</v>
      </c>
    </row>
    <row r="247" spans="1:3" ht="15">
      <c r="A247">
        <v>29</v>
      </c>
      <c r="B247" s="51" t="s">
        <v>253</v>
      </c>
      <c r="C247" s="54" t="s">
        <v>89</v>
      </c>
    </row>
    <row r="248" spans="1:3" ht="15">
      <c r="A248">
        <v>30</v>
      </c>
      <c r="B248" s="60" t="s">
        <v>282</v>
      </c>
      <c r="C248" s="60" t="s">
        <v>122</v>
      </c>
    </row>
    <row r="249" spans="1:3" ht="15">
      <c r="A249">
        <v>31</v>
      </c>
      <c r="B249" s="51" t="s">
        <v>283</v>
      </c>
      <c r="C249" s="60" t="s">
        <v>129</v>
      </c>
    </row>
    <row r="250" spans="1:3" ht="15">
      <c r="A250">
        <v>32</v>
      </c>
      <c r="B250" s="51" t="s">
        <v>284</v>
      </c>
      <c r="C250" s="60" t="s">
        <v>130</v>
      </c>
    </row>
    <row r="251" spans="1:3" ht="15">
      <c r="A251">
        <v>33</v>
      </c>
      <c r="B251" s="51" t="s">
        <v>261</v>
      </c>
      <c r="C251" s="60" t="s">
        <v>92</v>
      </c>
    </row>
    <row r="252" spans="1:3" ht="15">
      <c r="A252">
        <v>34</v>
      </c>
      <c r="B252" s="51" t="s">
        <v>255</v>
      </c>
      <c r="C252" s="54" t="s">
        <v>91</v>
      </c>
    </row>
    <row r="253" spans="1:3" ht="15">
      <c r="A253">
        <v>35</v>
      </c>
      <c r="B253" s="51" t="s">
        <v>285</v>
      </c>
      <c r="C253" s="54" t="s">
        <v>123</v>
      </c>
    </row>
    <row r="254" spans="1:3" ht="15">
      <c r="A254">
        <v>36</v>
      </c>
      <c r="B254" s="51"/>
      <c r="C254" s="50"/>
    </row>
    <row r="255" spans="1:3" ht="15">
      <c r="A255">
        <v>37</v>
      </c>
      <c r="B255" s="50" t="s">
        <v>234</v>
      </c>
      <c r="C255" s="50" t="s">
        <v>94</v>
      </c>
    </row>
    <row r="256" spans="1:3" ht="15">
      <c r="A256">
        <v>38</v>
      </c>
      <c r="B256" s="51" t="s">
        <v>265</v>
      </c>
      <c r="C256" s="54" t="s">
        <v>96</v>
      </c>
    </row>
    <row r="257" spans="1:3" ht="15">
      <c r="A257">
        <v>39</v>
      </c>
      <c r="B257" s="52" t="s">
        <v>266</v>
      </c>
      <c r="C257" s="54" t="s">
        <v>97</v>
      </c>
    </row>
    <row r="258" spans="1:3" ht="15">
      <c r="A258">
        <v>40</v>
      </c>
      <c r="B258" s="51" t="s">
        <v>257</v>
      </c>
      <c r="C258" s="54" t="s">
        <v>99</v>
      </c>
    </row>
    <row r="259" spans="1:3" ht="15">
      <c r="A259">
        <v>41</v>
      </c>
      <c r="B259" s="51" t="s">
        <v>264</v>
      </c>
      <c r="C259" s="54" t="s">
        <v>95</v>
      </c>
    </row>
    <row r="260" spans="1:3" ht="15">
      <c r="A260">
        <v>42</v>
      </c>
      <c r="B260" s="51" t="s">
        <v>287</v>
      </c>
      <c r="C260" s="54" t="s">
        <v>131</v>
      </c>
    </row>
    <row r="261" spans="1:3" ht="15">
      <c r="A261">
        <v>43</v>
      </c>
      <c r="B261" s="51" t="s">
        <v>258</v>
      </c>
      <c r="C261" s="54" t="s">
        <v>100</v>
      </c>
    </row>
    <row r="262" spans="1:3" ht="15">
      <c r="A262">
        <v>44</v>
      </c>
      <c r="B262" s="51" t="s">
        <v>259</v>
      </c>
      <c r="C262" s="55" t="s">
        <v>124</v>
      </c>
    </row>
    <row r="263" spans="1:3" ht="15">
      <c r="A263">
        <v>45</v>
      </c>
      <c r="B263" s="51" t="s">
        <v>261</v>
      </c>
      <c r="C263" s="51" t="s">
        <v>92</v>
      </c>
    </row>
    <row r="264" spans="1:3" ht="15">
      <c r="A264">
        <v>46</v>
      </c>
      <c r="B264" s="50" t="s">
        <v>260</v>
      </c>
      <c r="C264" s="50" t="s">
        <v>102</v>
      </c>
    </row>
    <row r="265" spans="1:3" ht="15">
      <c r="A265">
        <v>47</v>
      </c>
      <c r="B265" s="51" t="s">
        <v>235</v>
      </c>
      <c r="C265" s="51" t="s">
        <v>103</v>
      </c>
    </row>
    <row r="266" spans="1:3" ht="15">
      <c r="A266">
        <v>48</v>
      </c>
      <c r="B266" s="50" t="s">
        <v>268</v>
      </c>
      <c r="C266" s="50" t="s">
        <v>105</v>
      </c>
    </row>
    <row r="267" spans="2:3" ht="15">
      <c r="B267" s="50"/>
      <c r="C267" s="50"/>
    </row>
    <row r="268" spans="1:3" ht="15">
      <c r="A268">
        <v>50</v>
      </c>
      <c r="B268" s="51" t="s">
        <v>316</v>
      </c>
      <c r="C268" s="2" t="s">
        <v>301</v>
      </c>
    </row>
    <row r="269" spans="2:3" ht="15">
      <c r="B269" s="2"/>
      <c r="C269" s="2"/>
    </row>
    <row r="270" spans="2:3" s="78" customFormat="1" ht="15">
      <c r="B270" s="77" t="s">
        <v>161</v>
      </c>
      <c r="C270" s="77" t="s">
        <v>168</v>
      </c>
    </row>
    <row r="271" spans="1:3" ht="15">
      <c r="A271">
        <v>1</v>
      </c>
      <c r="B271" t="s">
        <v>152</v>
      </c>
      <c r="C271" t="s">
        <v>297</v>
      </c>
    </row>
    <row r="272" spans="1:3" ht="15">
      <c r="A272">
        <v>2</v>
      </c>
      <c r="B272" s="36" t="s">
        <v>294</v>
      </c>
      <c r="C272" s="36" t="s">
        <v>295</v>
      </c>
    </row>
    <row r="273" spans="1:3" ht="15">
      <c r="A273">
        <v>3</v>
      </c>
      <c r="B273" s="2" t="s">
        <v>143</v>
      </c>
      <c r="C273" s="2" t="s">
        <v>142</v>
      </c>
    </row>
    <row r="274" spans="1:3" ht="15">
      <c r="A274">
        <v>4</v>
      </c>
      <c r="B274" s="24" t="s">
        <v>107</v>
      </c>
      <c r="C274" s="24" t="s">
        <v>107</v>
      </c>
    </row>
    <row r="275" spans="1:3" ht="15">
      <c r="A275">
        <v>5</v>
      </c>
      <c r="B275" s="24" t="s">
        <v>134</v>
      </c>
      <c r="C275" s="24" t="s">
        <v>134</v>
      </c>
    </row>
    <row r="276" spans="1:3" ht="15">
      <c r="A276">
        <v>6</v>
      </c>
      <c r="B276" s="24" t="s">
        <v>141</v>
      </c>
      <c r="C276" s="24" t="s">
        <v>108</v>
      </c>
    </row>
    <row r="277" spans="1:3" ht="15">
      <c r="A277">
        <v>7</v>
      </c>
      <c r="B277" s="24"/>
      <c r="C277" s="24"/>
    </row>
    <row r="278" spans="1:3" ht="15">
      <c r="A278">
        <v>8</v>
      </c>
      <c r="B278" s="25" t="s">
        <v>145</v>
      </c>
      <c r="C278" s="25" t="s">
        <v>144</v>
      </c>
    </row>
    <row r="279" spans="1:3" ht="15">
      <c r="A279">
        <v>9</v>
      </c>
      <c r="B279" s="56" t="s">
        <v>146</v>
      </c>
      <c r="C279" s="56" t="s">
        <v>137</v>
      </c>
    </row>
    <row r="280" spans="1:3" ht="15">
      <c r="A280">
        <v>10</v>
      </c>
      <c r="B280" s="24" t="s">
        <v>147</v>
      </c>
      <c r="C280" s="24" t="s">
        <v>138</v>
      </c>
    </row>
    <row r="281" spans="1:3" ht="15">
      <c r="A281">
        <v>11</v>
      </c>
      <c r="B281" s="24"/>
      <c r="C281" s="24"/>
    </row>
    <row r="282" spans="1:3" ht="15">
      <c r="A282">
        <v>12</v>
      </c>
      <c r="B282" s="25" t="s">
        <v>149</v>
      </c>
      <c r="C282" s="25" t="s">
        <v>148</v>
      </c>
    </row>
    <row r="283" spans="1:3" ht="15">
      <c r="A283">
        <v>13</v>
      </c>
      <c r="B283" s="24" t="s">
        <v>150</v>
      </c>
      <c r="C283" s="26" t="s">
        <v>139</v>
      </c>
    </row>
    <row r="284" spans="1:3" ht="15">
      <c r="A284">
        <v>14</v>
      </c>
      <c r="B284" s="24" t="s">
        <v>151</v>
      </c>
      <c r="C284" s="26" t="s">
        <v>140</v>
      </c>
    </row>
    <row r="285" spans="2:3" ht="15">
      <c r="B285" s="24"/>
      <c r="C285" s="26"/>
    </row>
    <row r="286" spans="2:3" s="78" customFormat="1" ht="15">
      <c r="B286" s="77" t="s">
        <v>2</v>
      </c>
      <c r="C286" s="77" t="s">
        <v>133</v>
      </c>
    </row>
    <row r="287" spans="1:3" ht="15">
      <c r="A287">
        <v>1</v>
      </c>
      <c r="B287" t="s">
        <v>152</v>
      </c>
      <c r="C287" t="s">
        <v>297</v>
      </c>
    </row>
    <row r="288" spans="1:3" ht="15">
      <c r="A288">
        <v>2</v>
      </c>
      <c r="B288" s="27" t="s">
        <v>2</v>
      </c>
      <c r="C288" s="27" t="s">
        <v>133</v>
      </c>
    </row>
    <row r="289" spans="1:3" ht="15">
      <c r="A289">
        <v>3</v>
      </c>
      <c r="B289" s="2" t="s">
        <v>1</v>
      </c>
      <c r="C289" s="2" t="s">
        <v>296</v>
      </c>
    </row>
    <row r="290" spans="1:3" ht="15">
      <c r="A290">
        <v>4</v>
      </c>
      <c r="B290" s="2"/>
      <c r="C290" s="2"/>
    </row>
    <row r="291" spans="1:3" ht="15">
      <c r="A291">
        <v>5</v>
      </c>
      <c r="B291" s="4" t="s">
        <v>136</v>
      </c>
      <c r="C291" s="4" t="s">
        <v>135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Perzak</dc:creator>
  <cp:keywords/>
  <dc:description/>
  <cp:lastModifiedBy>Michał Zapora</cp:lastModifiedBy>
  <dcterms:created xsi:type="dcterms:W3CDTF">2017-06-27T14:11:05Z</dcterms:created>
  <dcterms:modified xsi:type="dcterms:W3CDTF">2020-05-26T19:29:03Z</dcterms:modified>
  <cp:category/>
  <cp:version/>
  <cp:contentType/>
  <cp:contentStatus/>
</cp:coreProperties>
</file>